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Rütgers\Meilensteinplan\MP Tool 2.0\FINAL\"/>
    </mc:Choice>
  </mc:AlternateContent>
  <bookViews>
    <workbookView xWindow="23880" yWindow="-120" windowWidth="29040" windowHeight="15840" tabRatio="939" activeTab="2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4" l="1"/>
  <c r="B33" i="1"/>
  <c r="D38" i="6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>
  <authors>
    <author>wolfgang.mayer</author>
  </authors>
  <commentList>
    <comment ref="H33" authorId="0" shapeId="0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>
  <authors>
    <author>wolfgang.mayer</author>
  </authors>
  <commentList>
    <comment ref="D27" authorId="0" shapeId="0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<sst xmlns="http://schemas.openxmlformats.org/spreadsheetml/2006/main" count="279" uniqueCount="194">
  <si>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</si>
  <si>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</si>
  <si>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</si>
  <si>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</si>
  <si>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</si>
  <si>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</si>
  <si>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</si>
  <si>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</si>
  <si>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</si>
  <si>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</si>
  <si>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</si>
  <si>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</si>
  <si>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</si>
  <si>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</si>
  <si>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</si>
  <si>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</si>
  <si>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</si>
  <si>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</si>
  <si>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</si>
  <si>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</si>
  <si>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</si>
  <si>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</si>
  <si>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</si>
  <si>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</si>
  <si>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</si>
  <si>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</si>
  <si>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</si>
  <si>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</si>
  <si>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</si>
  <si>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</si>
  <si>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</si>
  <si>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</si>
  <si>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</si>
  <si>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</si>
  <si>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</si>
  <si>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</si>
  <si>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</si>
  <si>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</si>
  <si>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</si>
  <si>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</si>
  <si>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</si>
  <si>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</si>
  <si>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</si>
  <si>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</si>
  <si>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</si>
  <si>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</si>
  <si>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</si>
  <si>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</si>
  <si>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</si>
  <si>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</si>
  <si>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</si>
  <si>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</si>
  <si>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</si>
  <si>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</si>
  <si>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</si>
  <si>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</si>
  <si>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</si>
  <si>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</si>
  <si>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</si>
  <si>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</si>
  <si>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</si>
  <si>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</si>
  <si>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</si>
  <si>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</si>
  <si>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</si>
  <si>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</si>
  <si>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</si>
  <si>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</si>
  <si>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</si>
  <si>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</si>
  <si>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</si>
  <si>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</si>
  <si>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</si>
  <si>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</si>
  <si>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</si>
  <si>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</si>
  <si>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</si>
  <si>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</si>
  <si>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</si>
  <si>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</si>
  <si>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</si>
  <si>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</si>
  <si>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</si>
  <si>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</si>
  <si>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</si>
  <si>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</si>
  <si>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</si>
  <si>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</si>
  <si>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</si>
  <si>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</si>
  <si>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</si>
  <si>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</si>
  <si>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</si>
  <si>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</si>
  <si>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</si>
  <si>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</si>
  <si>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</si>
  <si>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</si>
  <si>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</si>
  <si>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</si>
  <si>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</si>
  <si>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</si>
  <si>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</si>
  <si>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</si>
  <si>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</si>
  <si>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</si>
  <si>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</si>
  <si>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</si>
  <si>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</si>
  <si>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</si>
  <si>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</si>
  <si>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</si>
  <si>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</si>
  <si>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</si>
  <si>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</si>
  <si>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</si>
  <si>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</si>
  <si>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</si>
  <si>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</si>
  <si>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</si>
  <si>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</si>
  <si>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</si>
  <si>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</si>
  <si>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</si>
  <si>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</si>
  <si>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</si>
  <si>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</si>
  <si>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</si>
  <si>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</si>
  <si>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</si>
  <si>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</si>
  <si>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</si>
  <si>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</si>
  <si>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</si>
  <si>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</si>
  <si>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</si>
  <si>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</si>
  <si>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</si>
  <si>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</si>
  <si>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</si>
  <si>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</si>
  <si>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</si>
  <si>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</si>
  <si>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</si>
  <si>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</si>
  <si>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</si>
  <si>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</si>
  <si>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</si>
  <si>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</si>
  <si>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</si>
  <si>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</si>
  <si>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</si>
  <si>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</si>
  <si>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</si>
  <si>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</si>
  <si>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</si>
  <si>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</si>
  <si>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</si>
  <si>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</si>
  <si>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</si>
  <si>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</si>
  <si>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</si>
  <si>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</si>
  <si>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</si>
  <si>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</si>
  <si>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</si>
  <si>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</si>
  <si>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</si>
  <si>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</si>
  <si>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</si>
  <si>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</si>
  <si>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</si>
  <si>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</si>
  <si>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</si>
  <si>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</si>
  <si>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</si>
  <si>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</si>
  <si>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</si>
  <si>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</si>
  <si>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</si>
  <si>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</si>
  <si>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</si>
  <si>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</si>
  <si>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</si>
  <si>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</si>
  <si>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</si>
  <si>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</si>
  <si>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</si>
  <si>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</si>
  <si>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Landkreis Ebersberg</t>
  </si>
  <si>
    <t>Stand: 15.02.2023</t>
  </si>
  <si>
    <t>Der Landkreis Ebersberg setzt sich folgende Ziele:</t>
  </si>
  <si>
    <t>Entscheidungen, die Art und Umfang der zukünftigen Nutzung vorhandener Potenziale betreffen, obliegen der dem Landkreis. Nachstehender Szenarien-Generator ermöglicht ein Experimentieren mit verschiedenen Ausbauzielen und dient als Hilfestellung zur Abschätzung der benötigten Handlungsschritte auf dem Weg zu einer erneuerbaren Stromversorgung.</t>
  </si>
  <si>
    <t>Entscheidungen, die Art und Umfang der zukünftigen Nutzung vorhandener Potenziale betreffen, obliegen dem Landkreis. Nachstehender Szenarien-Generator ermöglicht ein Experimentieren mit verschiedenen Ausbauzielen und dient als Hilfestellung zur Abschätzung der benötigten Handlungsschritte auf dem Weg zu einer erneuerbaren Heizwärmeversorgung.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</si>
</sst>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/>
    <cellStyle name="Beschreibung" xfId="7"/>
    <cellStyle name="FESTWERT" xfId="8"/>
    <cellStyle name="FORMEL" xfId="9"/>
    <cellStyle name="GLIEDERUNG" xfId="3"/>
    <cellStyle name="Header" xfId="10"/>
    <cellStyle name="Link" xfId="2" builtinId="8"/>
    <cellStyle name="Prozent" xfId="1" builtinId="5"/>
    <cellStyle name="Prozent 2" xfId="12"/>
    <cellStyle name="Spalte" xfId="6"/>
    <cellStyle name="Standard" xfId="0" builtinId="0"/>
    <cellStyle name="Standard 2" xfId="11"/>
    <cellStyle name="Veränderbar" xfId="4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808918.99000000011</c:v>
                </c:pt>
                <c:pt idx="1">
                  <c:v>744784.93851148849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749404.74</c:v>
                </c:pt>
                <c:pt idx="1">
                  <c:v>1004379.0271955261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30421.079999999994</c:v>
                </c:pt>
                <c:pt idx="1">
                  <c:v>33531.733372921633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312099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1268146</c:v>
                </c:pt>
                <c:pt idx="1">
                  <c:v>1782695.6990799361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1580245</c:v>
                </c:pt>
                <c:pt idx="1">
                  <c:v>1782695.6990799361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177557.87999999998</c:v>
                </c:pt>
                <c:pt idx="1">
                  <c:v>145377.32704590767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274134.2900000001</c:v>
                </c:pt>
                <c:pt idx="1">
                  <c:v>307498.35666267131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12666.160000000002</c:v>
                </c:pt>
                <c:pt idx="1">
                  <c:v>8670.5590153306748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235516.82286388561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151532</c:v>
                </c:pt>
                <c:pt idx="1">
                  <c:v>151532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353606.72000000015</c:v>
                </c:pt>
                <c:pt idx="1">
                  <c:v>545531.06558779534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505138.72000000015</c:v>
                </c:pt>
                <c:pt idx="1">
                  <c:v>697063.06558779534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#,##0\ "t/a"</c:formatCode>
                <c:ptCount val="1"/>
                <c:pt idx="0">
                  <c:v>109106.21311755908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#,##0\ "t/a"</c:formatCode>
                <c:ptCount val="1"/>
                <c:pt idx="0">
                  <c:v>427846.96777918469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#,##0\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,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4140625" defaultRowHeight="13.8" x14ac:dyDescent="0.25"/>
  <cols>
    <col min="1" max="1" width="11.44140625" style="1"/>
    <col min="2" max="2" width="28.33203125" style="1" bestFit="1" customWidth="1"/>
    <col min="3" max="3" width="70.6640625" style="1" customWidth="1"/>
    <col min="4" max="16384" width="11.44140625" style="1"/>
  </cols>
  <sheetData>
    <row r="3" spans="2:4" ht="21" x14ac:dyDescent="0.4">
      <c r="B3" s="193" t="s">
        <v>139</v>
      </c>
      <c r="C3" s="194"/>
    </row>
    <row r="4" spans="2:4" ht="25.5" customHeight="1" x14ac:dyDescent="0.25">
      <c r="B4" s="147" t="s">
        <v>87</v>
      </c>
      <c r="C4" s="148" t="s">
        <v>130</v>
      </c>
      <c r="D4" s="25"/>
    </row>
    <row r="5" spans="2:4" ht="12" customHeight="1" x14ac:dyDescent="0.25">
      <c r="B5" s="147"/>
      <c r="C5" s="148"/>
      <c r="D5" s="25"/>
    </row>
    <row r="6" spans="2:4" ht="27.6" x14ac:dyDescent="0.25">
      <c r="B6" s="153" t="s">
        <v>88</v>
      </c>
      <c r="C6" s="152" t="s">
        <v>133</v>
      </c>
      <c r="D6" s="27"/>
    </row>
    <row r="7" spans="2:4" ht="14.4" x14ac:dyDescent="0.25">
      <c r="B7" s="153"/>
      <c r="C7" s="149"/>
      <c r="D7" s="27"/>
    </row>
    <row r="8" spans="2:4" ht="27.6" x14ac:dyDescent="0.25">
      <c r="B8" s="153" t="s">
        <v>89</v>
      </c>
      <c r="C8" s="152" t="s">
        <v>131</v>
      </c>
      <c r="D8" s="27"/>
    </row>
    <row r="9" spans="2:4" ht="14.4" x14ac:dyDescent="0.25">
      <c r="B9" s="153"/>
      <c r="C9" s="149"/>
      <c r="D9" s="27"/>
    </row>
    <row r="10" spans="2:4" ht="14.4" x14ac:dyDescent="0.25">
      <c r="B10" s="153" t="s">
        <v>164</v>
      </c>
      <c r="C10" s="149" t="s">
        <v>163</v>
      </c>
      <c r="D10" s="27"/>
    </row>
    <row r="11" spans="2:4" ht="14.4" x14ac:dyDescent="0.25">
      <c r="B11" s="153"/>
      <c r="C11" s="149"/>
      <c r="D11" s="27"/>
    </row>
    <row r="12" spans="2:4" x14ac:dyDescent="0.25">
      <c r="B12" s="153" t="s">
        <v>92</v>
      </c>
      <c r="C12" s="149" t="s">
        <v>132</v>
      </c>
      <c r="D12" s="26"/>
    </row>
    <row r="13" spans="2:4" x14ac:dyDescent="0.25">
      <c r="B13" s="153"/>
      <c r="C13" s="149"/>
      <c r="D13" s="26"/>
    </row>
    <row r="14" spans="2:4" x14ac:dyDescent="0.25">
      <c r="B14" s="153" t="s">
        <v>90</v>
      </c>
      <c r="C14" s="152" t="s">
        <v>129</v>
      </c>
      <c r="D14" s="26"/>
    </row>
    <row r="15" spans="2:4" x14ac:dyDescent="0.25">
      <c r="B15" s="153"/>
      <c r="C15" s="149"/>
      <c r="D15" s="26"/>
    </row>
    <row r="16" spans="2:4" x14ac:dyDescent="0.25">
      <c r="B16" s="153" t="s">
        <v>91</v>
      </c>
      <c r="C16" s="149" t="s">
        <v>128</v>
      </c>
      <c r="D16" s="26"/>
    </row>
    <row r="17" spans="2:4" x14ac:dyDescent="0.25">
      <c r="B17" s="150"/>
      <c r="C17" s="151"/>
      <c r="D17" s="26"/>
    </row>
    <row r="18" spans="2:4" x14ac:dyDescent="0.25">
      <c r="B18" s="28"/>
      <c r="C18" s="26"/>
      <c r="D18" s="26"/>
    </row>
  </sheetData>
  <mergeCells count="1">
    <mergeCell ref="B3:C3"/>
  </mergeCells>
  <hyperlinks>
    <hyperlink ref="B6" location="Ausbauziel_Strom!A1" display="Ausbauziel_Strom"/>
    <hyperlink ref="B8" location="Ausbauziel_Wärme!A1" display="Ausbauziel_Wärme"/>
    <hyperlink ref="B14" location="'Nachfrage &amp; Erzeugung'!A1" display="Nachfrage &amp; Erzeugung"/>
    <hyperlink ref="B12" location="'Basis-Annahmen'!A1" display="Basis-Annahmen"/>
    <hyperlink ref="B16" location="Potenzial!A1" display="Potenzial"/>
    <hyperlink ref="B10" location="THG_Emissionen!A1" display="THG_Emissionen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L93"/>
  <sheetViews>
    <sheetView view="pageLayout" zoomScaleNormal="100" workbookViewId="0">
      <selection activeCell="I23" sqref="I1:I1048576"/>
    </sheetView>
  </sheetViews>
  <sheetFormatPr baseColWidth="10" defaultColWidth="11.44140625" defaultRowHeight="13.8" x14ac:dyDescent="0.25"/>
  <cols>
    <col min="1" max="1" width="2.6640625" style="1" customWidth="1"/>
    <col min="2" max="2" width="1.33203125" style="1" customWidth="1"/>
    <col min="3" max="3" width="13" style="1" customWidth="1"/>
    <col min="4" max="4" width="9.44140625" style="1" customWidth="1"/>
    <col min="5" max="5" width="9.33203125" style="1" customWidth="1"/>
    <col min="6" max="6" width="10.44140625" style="1" customWidth="1"/>
    <col min="7" max="7" width="12.44140625" style="1" customWidth="1"/>
    <col min="8" max="8" width="9.6640625" style="1" customWidth="1"/>
    <col min="9" max="9" width="7.6640625" style="1" customWidth="1"/>
    <col min="10" max="10" width="4.88671875" style="1" customWidth="1"/>
    <col min="11" max="11" width="15.44140625" style="6" customWidth="1"/>
    <col min="12" max="12" width="3" style="1" customWidth="1"/>
    <col min="13" max="16384" width="11.44140625" style="1"/>
  </cols>
  <sheetData>
    <row r="1" spans="1:12" ht="17.399999999999999" x14ac:dyDescent="0.3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5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5">
      <c r="A4" s="216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4">
      <c r="A5" s="22"/>
      <c r="F5" s="213"/>
      <c r="G5" s="213"/>
      <c r="H5" s="213"/>
      <c r="K5" s="1"/>
      <c r="L5" s="22"/>
    </row>
    <row r="6" spans="1:12" ht="24" customHeight="1" x14ac:dyDescent="0.25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5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5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5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1.782.696 MWh/a</v>
      </c>
      <c r="J13" s="219"/>
      <c r="K13" s="219"/>
      <c r="L13" s="10"/>
    </row>
    <row r="14" spans="1:12" ht="18" customHeight="1" x14ac:dyDescent="0.25">
      <c r="A14" s="10"/>
      <c r="B14" s="10"/>
      <c r="D14" s="218" t="s">
        <v>180</v>
      </c>
      <c r="E14" s="218"/>
      <c r="F14" s="218"/>
      <c r="G14" s="218"/>
      <c r="H14" s="218"/>
      <c r="I14" s="219" t="str">
        <f>""&amp;FIXED(D82,0,FALSE)&amp;" MWh/a"</f>
        <v>1.580.245 MWh/a</v>
      </c>
      <c r="J14" s="219"/>
      <c r="K14" s="219"/>
      <c r="L14" s="10"/>
    </row>
    <row r="15" spans="1:12" ht="18" customHeight="1" x14ac:dyDescent="0.25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13 %</v>
      </c>
      <c r="J15" s="220"/>
      <c r="K15" s="220"/>
      <c r="L15" s="10"/>
    </row>
    <row r="16" spans="1:12" ht="30.75" customHeight="1" x14ac:dyDescent="0.25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5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5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5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5">
      <c r="B20" s="202" t="s">
        <v>191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5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5">
      <c r="B22" s="232" t="s">
        <v>184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5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5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5">
      <c r="B26" s="202" t="s">
        <v>193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5">
      <c r="B27" s="228" t="s">
        <v>191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5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5">
      <c r="A29" s="14"/>
      <c r="B29" s="238" t="s">
        <v>29</v>
      </c>
      <c r="C29" s="238"/>
      <c r="D29" s="238"/>
      <c r="E29" s="238"/>
      <c r="F29" s="230" t="s">
        <v>77</v>
      </c>
      <c r="G29" s="230"/>
      <c r="H29" s="237" t="s">
        <v>78</v>
      </c>
      <c r="I29" s="237"/>
      <c r="J29" s="230" t="s">
        <v>82</v>
      </c>
      <c r="K29" s="230"/>
    </row>
    <row r="30" spans="1:12" ht="21.6" customHeight="1" x14ac:dyDescent="0.25">
      <c r="A30" s="14"/>
      <c r="B30" s="242" t="s">
        <v>75</v>
      </c>
      <c r="C30" s="242"/>
      <c r="D30" s="242"/>
      <c r="E30" s="242"/>
      <c r="F30" s="239">
        <v>0</v>
      </c>
      <c r="G30" s="239"/>
      <c r="H30" s="241" t="s">
        <v>144</v>
      </c>
      <c r="I30" s="241"/>
      <c r="J30" s="240">
        <f>F30*E82</f>
        <v>0</v>
      </c>
      <c r="K30" s="240"/>
    </row>
    <row r="31" spans="1:12" ht="21.6" customHeight="1" x14ac:dyDescent="0.25">
      <c r="A31" s="14"/>
      <c r="B31" s="224" t="s">
        <v>153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5">
      <c r="A32" s="14"/>
      <c r="B32" s="242" t="s">
        <v>76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1782695.6990799361</v>
      </c>
      <c r="K32" s="240"/>
    </row>
    <row r="33" spans="1:12" ht="21.6" customHeight="1" x14ac:dyDescent="0.25">
      <c r="A33" s="14"/>
      <c r="B33" s="224" t="s">
        <v>151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5">
      <c r="A34" s="14"/>
      <c r="B34" s="195" t="s">
        <v>152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5">
      <c r="A35" s="14"/>
      <c r="B35" s="195" t="s">
        <v>154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5">
      <c r="A36" s="14"/>
      <c r="B36" s="195" t="s">
        <v>155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5">
      <c r="A37" s="14"/>
      <c r="B37" s="195" t="s">
        <v>182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1782695.6990799361</v>
      </c>
      <c r="K37" s="207"/>
    </row>
    <row r="38" spans="1:12" ht="44.25" customHeight="1" x14ac:dyDescent="0.25">
      <c r="B38" s="202" t="str">
        <f>"Bei erfolgreicher Umsetzung dieser Zielsetzung ergäbe sich für den Landkreis folgende Deckung der Wärmenachfrage für das Jahr "&amp;'Basis-Annahmen'!E5&amp;":"</f>
        <v>Bei erfolgreicher Umsetzung dieser Zielsetzung ergäbe sich für den Landkreis folgende Deckung der Wärmenachfrage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5">
      <c r="B39" s="203" t="s">
        <v>80</v>
      </c>
      <c r="C39" s="203"/>
      <c r="D39" s="203"/>
      <c r="E39" s="203"/>
      <c r="F39" s="203"/>
      <c r="G39" s="201" t="s">
        <v>79</v>
      </c>
      <c r="H39" s="201"/>
      <c r="I39" s="201" t="s">
        <v>73</v>
      </c>
      <c r="J39" s="201"/>
      <c r="K39" s="201"/>
    </row>
    <row r="40" spans="1:12" s="14" customFormat="1" ht="21" customHeight="1" x14ac:dyDescent="0.25">
      <c r="B40" s="211" t="s">
        <v>54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5">
      <c r="B41" s="211" t="s">
        <v>74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1782695.6990799361</v>
      </c>
      <c r="J41" s="199"/>
      <c r="K41" s="199"/>
    </row>
    <row r="42" spans="1:12" x14ac:dyDescent="0.25">
      <c r="L42" s="15"/>
    </row>
    <row r="43" spans="1:12" ht="45.75" customHeight="1" x14ac:dyDescent="0.25">
      <c r="L43" s="15"/>
    </row>
    <row r="52" spans="1:12" ht="46.5" customHeight="1" x14ac:dyDescent="0.25">
      <c r="B52" s="202" t="s">
        <v>181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5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7.399999999999999" x14ac:dyDescent="0.25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5">
      <c r="K55" s="1"/>
    </row>
    <row r="56" spans="1:12" ht="49.5" customHeight="1" x14ac:dyDescent="0.25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5">
      <c r="B57" s="198" t="s">
        <v>178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5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5">
      <c r="B60" s="198" t="s">
        <v>170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5">
      <c r="B61" s="198" t="s">
        <v>172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5">
      <c r="B62" s="198" t="s">
        <v>171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5">
      <c r="B63" s="198" t="s">
        <v>173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5">
      <c r="B64" s="198" t="s">
        <v>174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5">
      <c r="B65" s="198" t="s">
        <v>175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5">
      <c r="B66" s="198" t="s">
        <v>176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5">
      <c r="B67" s="198" t="s">
        <v>177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5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5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5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5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5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5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5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5">
      <c r="A76" s="172"/>
      <c r="B76" s="172"/>
      <c r="C76" s="174" t="s">
        <v>138</v>
      </c>
      <c r="D76" s="175"/>
      <c r="E76" s="175"/>
      <c r="F76" s="175"/>
      <c r="G76" s="174" t="s">
        <v>91</v>
      </c>
      <c r="H76" s="176"/>
      <c r="I76" s="176"/>
      <c r="J76" s="154"/>
      <c r="K76" s="154"/>
      <c r="L76" s="154"/>
    </row>
    <row r="77" spans="1:12" x14ac:dyDescent="0.25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5">
      <c r="A78" s="172"/>
      <c r="B78" s="172"/>
      <c r="C78" s="176" t="str">
        <f>'Nachfrage &amp; Erzeugung'!B38</f>
        <v>Private Haushalte</v>
      </c>
      <c r="D78" s="177">
        <f>'Nachfrage &amp; Erzeugung'!C38</f>
        <v>808918.99000000011</v>
      </c>
      <c r="E78" s="177">
        <f>LOOKUP('Basis-Annahmen'!E5,'Nachfrage &amp; Erzeugung'!D36:G36,'Nachfrage &amp; Erzeugung'!D38:G38)</f>
        <v>744784.93851148849</v>
      </c>
      <c r="F78" s="175"/>
      <c r="G78" s="175"/>
      <c r="H78" s="175"/>
      <c r="I78" s="175"/>
      <c r="J78" s="154"/>
      <c r="K78" s="154"/>
      <c r="L78" s="154"/>
    </row>
    <row r="79" spans="1:12" x14ac:dyDescent="0.25">
      <c r="A79" s="172"/>
      <c r="B79" s="172"/>
      <c r="C79" s="176" t="str">
        <f>'Nachfrage &amp; Erzeugung'!B39</f>
        <v>GHD / Industrie</v>
      </c>
      <c r="D79" s="177">
        <f>'Nachfrage &amp; Erzeugung'!C39</f>
        <v>749404.74</v>
      </c>
      <c r="E79" s="177">
        <f>LOOKUP('Basis-Annahmen'!E5,'Nachfrage &amp; Erzeugung'!D36:G36,'Nachfrage &amp; Erzeugung'!D39:G39)</f>
        <v>1004379.0271955261</v>
      </c>
      <c r="F79" s="175"/>
      <c r="G79" s="176" t="s">
        <v>54</v>
      </c>
      <c r="H79" s="177">
        <f>'Nachfrage &amp; Erzeugung'!C46</f>
        <v>312099</v>
      </c>
      <c r="I79" s="177">
        <f>I40</f>
        <v>0</v>
      </c>
      <c r="J79" s="154"/>
      <c r="K79" s="154"/>
      <c r="L79" s="154"/>
    </row>
    <row r="80" spans="1:12" x14ac:dyDescent="0.25">
      <c r="A80" s="172"/>
      <c r="B80" s="172"/>
      <c r="C80" s="176" t="str">
        <f>'Nachfrage &amp; Erzeugung'!B40</f>
        <v>Kommunale Einrichtungen</v>
      </c>
      <c r="D80" s="177">
        <f>'Nachfrage &amp; Erzeugung'!C40</f>
        <v>30421.079999999994</v>
      </c>
      <c r="E80" s="177">
        <f>LOOKUP('Basis-Annahmen'!E5,'Nachfrage &amp; Erzeugung'!D36:G36,'Nachfrage &amp; Erzeugung'!D40:G40)</f>
        <v>33531.733372921633</v>
      </c>
      <c r="F80" s="175"/>
      <c r="G80" s="176" t="str">
        <f>'Nachfrage &amp; Erzeugung'!B47</f>
        <v>Nicht erneuerbare Wärmeerzeugung</v>
      </c>
      <c r="H80" s="177">
        <f>MAX(0,H82-H79)</f>
        <v>1268146</v>
      </c>
      <c r="I80" s="177">
        <f>MAX(0,I82-I79)</f>
        <v>1782695.6990799361</v>
      </c>
      <c r="J80" s="154"/>
      <c r="K80" s="154"/>
      <c r="L80" s="154"/>
    </row>
    <row r="81" spans="1:12" x14ac:dyDescent="0.25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5">
      <c r="A82" s="172"/>
      <c r="B82" s="172"/>
      <c r="C82" s="176" t="s">
        <v>66</v>
      </c>
      <c r="D82" s="177">
        <f>'Nachfrage &amp; Erzeugung'!C37</f>
        <v>1580245</v>
      </c>
      <c r="E82" s="177">
        <f>LOOKUP('Basis-Annahmen'!E5,'Nachfrage &amp; Erzeugung'!D36:G36,'Nachfrage &amp; Erzeugung'!D37:G37)</f>
        <v>1782695.6990799361</v>
      </c>
      <c r="F82" s="175"/>
      <c r="G82" s="176" t="s">
        <v>81</v>
      </c>
      <c r="H82" s="177">
        <f>'Nachfrage &amp; Erzeugung'!C37</f>
        <v>1580245</v>
      </c>
      <c r="I82" s="177">
        <f>LOOKUP('Basis-Annahmen'!E5,'Nachfrage &amp; Erzeugung'!D36:G36,'Nachfrage &amp; Erzeugung'!D37:G37)</f>
        <v>1782695.6990799361</v>
      </c>
      <c r="J82" s="154"/>
      <c r="K82" s="154"/>
      <c r="L82" s="154"/>
    </row>
    <row r="83" spans="1:12" x14ac:dyDescent="0.25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5">
      <c r="A84" s="172"/>
      <c r="B84" s="172"/>
      <c r="C84" s="176" t="s">
        <v>104</v>
      </c>
      <c r="D84" s="175"/>
      <c r="E84" s="178">
        <f>(E82-D82)/D82</f>
        <v>0.12811348814894916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5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5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5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5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5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5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/>
    <hyperlink ref="B66" r:id="rId1"/>
    <hyperlink ref="B67" r:id="rId2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V92"/>
  <sheetViews>
    <sheetView tabSelected="1" view="pageLayout" topLeftCell="A16" zoomScale="80" zoomScaleNormal="85" zoomScalePageLayoutView="80" workbookViewId="0">
      <selection activeCell="N33" sqref="N33"/>
    </sheetView>
  </sheetViews>
  <sheetFormatPr baseColWidth="10" defaultColWidth="11.44140625" defaultRowHeight="13.8" x14ac:dyDescent="0.25"/>
  <cols>
    <col min="1" max="1" width="2.6640625" style="1" customWidth="1"/>
    <col min="2" max="2" width="1.33203125" style="1" customWidth="1"/>
    <col min="3" max="3" width="13" style="1" customWidth="1"/>
    <col min="4" max="4" width="9.44140625" style="1" customWidth="1"/>
    <col min="5" max="5" width="8.6640625" style="1" customWidth="1"/>
    <col min="6" max="6" width="7.5546875" style="1" customWidth="1"/>
    <col min="7" max="7" width="12.88671875" style="1" customWidth="1"/>
    <col min="8" max="8" width="13.6640625" style="1" customWidth="1"/>
    <col min="9" max="9" width="8.88671875" style="1" customWidth="1"/>
    <col min="10" max="10" width="4.88671875" style="1" customWidth="1"/>
    <col min="11" max="11" width="13.109375" style="6" customWidth="1"/>
    <col min="12" max="12" width="3.109375" style="1" customWidth="1"/>
    <col min="13" max="13" width="11.44140625" style="1"/>
    <col min="14" max="14" width="27.6640625" style="1" customWidth="1"/>
    <col min="15" max="15" width="18.88671875" style="1" customWidth="1"/>
    <col min="16" max="18" width="11.44140625" style="1"/>
    <col min="19" max="19" width="36.109375" style="1" bestFit="1" customWidth="1"/>
    <col min="20" max="16384" width="11.44140625" style="1"/>
  </cols>
  <sheetData>
    <row r="1" spans="1:14" ht="17.399999999999999" x14ac:dyDescent="0.3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5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5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5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5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697.063 MWh/a</v>
      </c>
      <c r="J13" s="219"/>
      <c r="K13" s="219"/>
      <c r="L13" s="10"/>
    </row>
    <row r="14" spans="1:14" ht="18" customHeight="1" x14ac:dyDescent="0.25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38 %</v>
      </c>
      <c r="J14" s="219"/>
      <c r="K14" s="219"/>
      <c r="L14" s="10"/>
    </row>
    <row r="15" spans="1:14" ht="18" customHeight="1" x14ac:dyDescent="0.25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34 %</v>
      </c>
      <c r="J15" s="220"/>
      <c r="K15" s="220"/>
      <c r="L15" s="10"/>
    </row>
    <row r="16" spans="1:14" ht="18" customHeight="1" x14ac:dyDescent="0.25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5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5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5">
      <c r="B20" s="202" t="s">
        <v>105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5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5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5">
      <c r="B23" s="202" t="s">
        <v>192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5">
      <c r="B24" s="228" t="s">
        <v>191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5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5">
      <c r="A26" s="14"/>
      <c r="B26" s="250" t="s">
        <v>29</v>
      </c>
      <c r="C26" s="250"/>
      <c r="D26" s="156" t="s">
        <v>18</v>
      </c>
      <c r="E26" s="156" t="s">
        <v>83</v>
      </c>
      <c r="F26" s="249" t="s">
        <v>85</v>
      </c>
      <c r="G26" s="249"/>
      <c r="H26" s="251" t="s">
        <v>86</v>
      </c>
      <c r="I26" s="251"/>
      <c r="J26" s="251" t="s">
        <v>84</v>
      </c>
      <c r="K26" s="251"/>
    </row>
    <row r="27" spans="1:22" ht="27.9" customHeight="1" x14ac:dyDescent="0.25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2115000</v>
      </c>
      <c r="I27" s="254"/>
      <c r="J27" s="253">
        <f>IF(H27&gt;0,F27/H27,0)</f>
        <v>0</v>
      </c>
      <c r="K27" s="253"/>
    </row>
    <row r="28" spans="1:22" ht="27.9" customHeight="1" x14ac:dyDescent="0.25">
      <c r="A28" s="14"/>
      <c r="B28" s="246" t="s">
        <v>122</v>
      </c>
      <c r="C28" s="246"/>
      <c r="D28" s="181"/>
      <c r="E28" s="158" t="s">
        <v>121</v>
      </c>
      <c r="F28" s="255">
        <f>D28*Potenzial!D18</f>
        <v>0</v>
      </c>
      <c r="G28" s="255"/>
      <c r="H28" s="254">
        <f>Potenzial!D14</f>
        <v>594880.19999999995</v>
      </c>
      <c r="I28" s="254"/>
      <c r="J28" s="253">
        <f t="shared" ref="J28:J29" si="0">IF(H28&gt;0,F28/H28,0)</f>
        <v>0</v>
      </c>
      <c r="K28" s="253"/>
    </row>
    <row r="29" spans="1:22" ht="27.9" customHeight="1" x14ac:dyDescent="0.25">
      <c r="A29" s="14"/>
      <c r="B29" s="247" t="s">
        <v>123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2868538.176</v>
      </c>
      <c r="I29" s="254"/>
      <c r="J29" s="253">
        <f t="shared" si="0"/>
        <v>0</v>
      </c>
      <c r="K29" s="253"/>
    </row>
    <row r="30" spans="1:22" ht="27.9" customHeight="1" x14ac:dyDescent="0.25">
      <c r="A30" s="14"/>
      <c r="B30" s="247" t="s">
        <v>124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" customHeight="1" x14ac:dyDescent="0.25">
      <c r="A31" s="14"/>
      <c r="B31" s="158"/>
      <c r="C31" s="158" t="s">
        <v>125</v>
      </c>
      <c r="D31" s="157"/>
      <c r="E31" s="157"/>
      <c r="F31" s="257">
        <f>H77</f>
        <v>151532</v>
      </c>
      <c r="G31" s="257"/>
      <c r="H31" s="254"/>
      <c r="I31" s="254"/>
      <c r="J31" s="253"/>
      <c r="K31" s="253"/>
      <c r="L31" s="162"/>
    </row>
    <row r="32" spans="1:22" ht="23.25" customHeight="1" x14ac:dyDescent="0.25">
      <c r="A32" s="14"/>
      <c r="B32" s="242" t="s">
        <v>32</v>
      </c>
      <c r="C32" s="242"/>
      <c r="D32" s="159"/>
      <c r="E32" s="159"/>
      <c r="F32" s="256">
        <f>SUM(F27:F31)</f>
        <v>151532</v>
      </c>
      <c r="G32" s="256"/>
      <c r="H32" s="248">
        <f>SUM(H27:H31)</f>
        <v>5578418.3760000002</v>
      </c>
      <c r="I32" s="248"/>
      <c r="J32" s="245">
        <f>IF(H32&gt;0,F32/H32,0)</f>
        <v>2.7163971897829556E-2</v>
      </c>
      <c r="K32" s="245"/>
      <c r="L32" s="162"/>
    </row>
    <row r="33" spans="2:16" ht="45.75" customHeight="1" x14ac:dyDescent="0.25">
      <c r="B33" s="202" t="str">
        <f>"Bei erfolgreicher Umsetzung dieser Zielsetzung ergäbe sich für den Landkreis folgende Deckung der Stromnachfrage durch erneuerbare Energien für das Jahr "&amp;'Basis-Annahmen'!E5&amp;":"</f>
        <v>Bei erfolgreicher Umsetzung dieser Zielsetzung ergäbe sich für den Landkreis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5">
      <c r="L34" s="15"/>
      <c r="M34" s="15"/>
    </row>
    <row r="35" spans="2:16" x14ac:dyDescent="0.25">
      <c r="I35" s="6"/>
      <c r="L35" s="15"/>
      <c r="M35" s="15"/>
    </row>
    <row r="46" spans="2:16" x14ac:dyDescent="0.25">
      <c r="L46" s="15"/>
      <c r="M46" s="15"/>
      <c r="N46" s="10"/>
      <c r="O46" s="10"/>
      <c r="P46" s="10"/>
    </row>
    <row r="47" spans="2:16" ht="73.5" customHeight="1" x14ac:dyDescent="0.25">
      <c r="L47" s="15"/>
      <c r="M47" s="15"/>
      <c r="N47" s="15"/>
      <c r="O47" s="15"/>
      <c r="P47" s="15"/>
    </row>
    <row r="48" spans="2:16" ht="51.75" customHeight="1" x14ac:dyDescent="0.25">
      <c r="B48" s="202" t="s">
        <v>169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5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7.399999999999999" x14ac:dyDescent="0.25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5">
      <c r="K51" s="1"/>
    </row>
    <row r="52" spans="1:13" ht="32.25" customHeight="1" x14ac:dyDescent="0.25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5">
      <c r="B53" s="198" t="s">
        <v>186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5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5">
      <c r="B57" s="198" t="s">
        <v>170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5">
      <c r="B58" s="198" t="s">
        <v>172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5">
      <c r="B59" s="198" t="s">
        <v>171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5">
      <c r="B60" s="198" t="s">
        <v>173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5">
      <c r="B61" s="198" t="s">
        <v>174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5">
      <c r="B62" s="198" t="s">
        <v>175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5">
      <c r="B63" s="198" t="s">
        <v>176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5">
      <c r="B64" s="198" t="s">
        <v>177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5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5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5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5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5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5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5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5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5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5">
      <c r="A74" s="154"/>
      <c r="B74" s="154"/>
      <c r="C74" s="174" t="s">
        <v>138</v>
      </c>
      <c r="D74" s="176"/>
      <c r="E74" s="176"/>
      <c r="F74" s="175"/>
      <c r="G74" s="174" t="s">
        <v>91</v>
      </c>
      <c r="H74" s="176"/>
      <c r="I74" s="176"/>
      <c r="J74" s="154"/>
      <c r="K74" s="154"/>
      <c r="L74" s="172"/>
    </row>
    <row r="75" spans="1:12" x14ac:dyDescent="0.25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5">
      <c r="A76" s="154"/>
      <c r="B76" s="154"/>
      <c r="C76" s="176" t="str">
        <f>'Nachfrage &amp; Erzeugung'!B11</f>
        <v>Private Haushalte</v>
      </c>
      <c r="D76" s="186">
        <f>'Nachfrage &amp; Erzeugung'!C11</f>
        <v>177557.87999999998</v>
      </c>
      <c r="E76" s="186">
        <f>LOOKUP('Basis-Annahmen'!E5,'Nachfrage &amp; Erzeugung'!D9:G9,'Nachfrage &amp; Erzeugung'!D11:G11)</f>
        <v>145377.32704590767</v>
      </c>
      <c r="F76" s="175"/>
      <c r="G76" s="175"/>
      <c r="H76" s="175"/>
      <c r="I76" s="175"/>
      <c r="J76" s="154"/>
      <c r="K76" s="154"/>
      <c r="L76" s="172"/>
    </row>
    <row r="77" spans="1:12" x14ac:dyDescent="0.25">
      <c r="A77" s="154"/>
      <c r="B77" s="154"/>
      <c r="C77" s="176" t="str">
        <f>'Nachfrage &amp; Erzeugung'!B12</f>
        <v>GHD / Industrie</v>
      </c>
      <c r="D77" s="186">
        <f>'Nachfrage &amp; Erzeugung'!C12</f>
        <v>274134.2900000001</v>
      </c>
      <c r="E77" s="186">
        <f>LOOKUP('Basis-Annahmen'!E5,'Nachfrage &amp; Erzeugung'!D9:G9,'Nachfrage &amp; Erzeugung'!D12:G12)</f>
        <v>307498.35666267131</v>
      </c>
      <c r="F77" s="175"/>
      <c r="G77" s="176" t="s">
        <v>101</v>
      </c>
      <c r="H77" s="186">
        <f>'Nachfrage &amp; Erzeugung'!C21</f>
        <v>151532</v>
      </c>
      <c r="I77" s="186">
        <f>F31</f>
        <v>151532</v>
      </c>
      <c r="J77" s="154"/>
      <c r="K77" s="154"/>
      <c r="L77" s="172"/>
    </row>
    <row r="78" spans="1:12" x14ac:dyDescent="0.25">
      <c r="A78" s="154"/>
      <c r="B78" s="154"/>
      <c r="C78" s="176" t="str">
        <f>'Nachfrage &amp; Erzeugung'!B13</f>
        <v>Kommunale Einrichtungen</v>
      </c>
      <c r="D78" s="186">
        <f>'Nachfrage &amp; Erzeugung'!C13</f>
        <v>12666.160000000002</v>
      </c>
      <c r="E78" s="186">
        <f>LOOKUP('Basis-Annahmen'!E5,'Nachfrage &amp; Erzeugung'!D9:G9,'Nachfrage &amp; Erzeugung'!D13:G13)</f>
        <v>8670.5590153306748</v>
      </c>
      <c r="F78" s="175"/>
      <c r="G78" s="176" t="str">
        <f>'Nachfrage &amp; Erzeugung'!B29</f>
        <v>Nicht aus lokalen EE gedeckter Strombedarf</v>
      </c>
      <c r="H78" s="186">
        <f>'Nachfrage &amp; Erzeugung'!C29</f>
        <v>353606.72000000015</v>
      </c>
      <c r="I78" s="186">
        <f>MAX(0,E82-SUM(I79:I82)-I77)</f>
        <v>545531.06558779534</v>
      </c>
      <c r="J78" s="154"/>
      <c r="K78" s="154"/>
      <c r="L78" s="172"/>
    </row>
    <row r="79" spans="1:12" x14ac:dyDescent="0.25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235516.82286388561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5">
      <c r="A80" s="154"/>
      <c r="B80" s="154"/>
      <c r="C80" s="176" t="s">
        <v>106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5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5">
      <c r="A82" s="154"/>
      <c r="B82" s="154"/>
      <c r="C82" s="176" t="s">
        <v>25</v>
      </c>
      <c r="D82" s="186">
        <f>'Nachfrage &amp; Erzeugung'!C10</f>
        <v>505138.72000000015</v>
      </c>
      <c r="E82" s="186">
        <f>LOOKUP('Basis-Annahmen'!E5,'Nachfrage &amp; Erzeugung'!D9:G9,'Nachfrage &amp; Erzeugung'!D10:G10)</f>
        <v>697063.06558779534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5">
      <c r="A83" s="154"/>
      <c r="B83" s="154"/>
      <c r="C83" s="176" t="s">
        <v>98</v>
      </c>
      <c r="D83" s="175"/>
      <c r="E83" s="188">
        <f>(E82-D82)/D82</f>
        <v>0.37994384114485452</v>
      </c>
      <c r="F83" s="175"/>
      <c r="G83" s="176"/>
      <c r="H83" s="186"/>
      <c r="I83" s="186"/>
      <c r="J83" s="154"/>
      <c r="K83" s="154"/>
      <c r="L83" s="172"/>
    </row>
    <row r="84" spans="1:12" x14ac:dyDescent="0.25">
      <c r="A84" s="154"/>
      <c r="B84" s="154"/>
      <c r="C84" s="176" t="s">
        <v>99</v>
      </c>
      <c r="D84" s="175"/>
      <c r="E84" s="188">
        <f>E79/E82</f>
        <v>0.33787017917135959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5">
      <c r="A85" s="154"/>
      <c r="B85" s="154"/>
      <c r="C85" s="176" t="s">
        <v>100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5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5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5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5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5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5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/>
    <hyperlink ref="B64" r:id="rId2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4140625" defaultRowHeight="13.8" x14ac:dyDescent="0.25"/>
  <cols>
    <col min="1" max="1" width="2.6640625" style="1" customWidth="1"/>
    <col min="2" max="2" width="1.33203125" style="1" customWidth="1"/>
    <col min="3" max="3" width="13" style="1" customWidth="1"/>
    <col min="4" max="4" width="9.44140625" style="1" customWidth="1"/>
    <col min="5" max="5" width="8.6640625" style="1" customWidth="1"/>
    <col min="6" max="6" width="7.5546875" style="1" customWidth="1"/>
    <col min="7" max="7" width="12.88671875" style="1" customWidth="1"/>
    <col min="8" max="8" width="13.6640625" style="1" customWidth="1"/>
    <col min="9" max="9" width="8.88671875" style="1" customWidth="1"/>
    <col min="10" max="10" width="4.88671875" style="1" customWidth="1"/>
    <col min="11" max="11" width="13.109375" style="6" customWidth="1"/>
    <col min="12" max="12" width="3.109375" style="1" customWidth="1"/>
    <col min="13" max="13" width="11.44140625" style="1"/>
    <col min="14" max="14" width="27.6640625" style="1" customWidth="1"/>
    <col min="15" max="15" width="18.88671875" style="1" customWidth="1"/>
    <col min="16" max="18" width="11.44140625" style="1"/>
    <col min="19" max="19" width="36.109375" style="1" bestFit="1" customWidth="1"/>
    <col min="20" max="16384" width="11.44140625" style="1"/>
  </cols>
  <sheetData>
    <row r="1" spans="1:14" ht="17.399999999999999" x14ac:dyDescent="0.3">
      <c r="A1" s="214" t="s">
        <v>189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5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5">
      <c r="A4" s="216" t="s">
        <v>156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3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159590</v>
      </c>
      <c r="I5" s="268"/>
      <c r="J5" s="268"/>
      <c r="K5" s="189"/>
    </row>
    <row r="6" spans="1:14" ht="10.5" customHeight="1" x14ac:dyDescent="0.25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5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5">
      <c r="A8" s="14"/>
      <c r="B8" s="179"/>
      <c r="C8" s="218" t="s">
        <v>159</v>
      </c>
      <c r="D8" s="218"/>
      <c r="E8" s="218"/>
      <c r="F8" s="218"/>
      <c r="G8" s="218"/>
      <c r="H8" s="266">
        <f>Ausbauziel_Strom!I78</f>
        <v>545531.06558779534</v>
      </c>
      <c r="I8" s="266"/>
      <c r="J8" s="266"/>
    </row>
    <row r="9" spans="1:14" ht="10.5" customHeight="1" x14ac:dyDescent="0.25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5">
      <c r="A10" s="14"/>
      <c r="B10" s="179"/>
      <c r="C10" s="264" t="s">
        <v>160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5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5">
      <c r="A12" s="14"/>
      <c r="B12" s="179"/>
      <c r="C12" s="260" t="s">
        <v>162</v>
      </c>
      <c r="D12" s="260"/>
      <c r="E12" s="260"/>
      <c r="F12" s="260"/>
      <c r="G12" s="260"/>
      <c r="H12" s="261">
        <f>H10*H8/1000</f>
        <v>109106.21311755908</v>
      </c>
      <c r="I12" s="261"/>
      <c r="J12" s="261"/>
      <c r="K12" s="179"/>
    </row>
    <row r="13" spans="1:14" ht="24.6" customHeight="1" x14ac:dyDescent="0.25">
      <c r="A13" s="14"/>
      <c r="B13" s="179"/>
      <c r="C13" s="260" t="s">
        <v>161</v>
      </c>
      <c r="D13" s="260"/>
      <c r="E13" s="260"/>
      <c r="F13" s="260"/>
      <c r="G13" s="260"/>
      <c r="H13" s="262">
        <f>H12/H5</f>
        <v>0.68366572540609738</v>
      </c>
      <c r="I13" s="262"/>
      <c r="J13" s="262"/>
      <c r="K13" s="179"/>
    </row>
    <row r="14" spans="1:14" ht="10.5" customHeight="1" x14ac:dyDescent="0.25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5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5">
      <c r="A16" s="14"/>
      <c r="B16" s="179"/>
      <c r="C16" s="218" t="s">
        <v>157</v>
      </c>
      <c r="D16" s="218"/>
      <c r="E16" s="218"/>
      <c r="F16" s="218"/>
      <c r="G16" s="218"/>
      <c r="H16" s="266">
        <f>Ausbauziel_Wärme!I41</f>
        <v>1782695.6990799361</v>
      </c>
      <c r="I16" s="266"/>
      <c r="J16" s="266"/>
    </row>
    <row r="17" spans="1:11" ht="10.5" customHeight="1" x14ac:dyDescent="0.25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5">
      <c r="A18" s="14"/>
      <c r="B18" s="179"/>
      <c r="C18" s="264" t="s">
        <v>158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5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5">
      <c r="A20" s="14"/>
      <c r="B20" s="179"/>
      <c r="C20" s="260" t="s">
        <v>162</v>
      </c>
      <c r="D20" s="260"/>
      <c r="E20" s="260"/>
      <c r="F20" s="260"/>
      <c r="G20" s="260"/>
      <c r="H20" s="261">
        <f>H18*H16/1000</f>
        <v>427846.96777918469</v>
      </c>
      <c r="I20" s="261"/>
      <c r="J20" s="261"/>
      <c r="K20" s="179"/>
    </row>
    <row r="21" spans="1:11" ht="24.6" customHeight="1" x14ac:dyDescent="0.25">
      <c r="A21" s="14"/>
      <c r="B21" s="179"/>
      <c r="C21" s="260" t="s">
        <v>161</v>
      </c>
      <c r="D21" s="260"/>
      <c r="E21" s="260"/>
      <c r="F21" s="260"/>
      <c r="G21" s="260"/>
      <c r="H21" s="262">
        <f>H20/H5</f>
        <v>2.6809133891796773</v>
      </c>
      <c r="I21" s="262"/>
      <c r="J21" s="262"/>
      <c r="K21" s="179"/>
    </row>
    <row r="22" spans="1:11" ht="10.5" customHeight="1" x14ac:dyDescent="0.25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5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5">
      <c r="A24" s="14"/>
      <c r="B24" s="179"/>
      <c r="C24" s="263" t="s">
        <v>183</v>
      </c>
      <c r="D24" s="264"/>
      <c r="E24" s="264"/>
      <c r="F24" s="264"/>
      <c r="G24" s="264"/>
      <c r="H24" s="265">
        <v>2.56</v>
      </c>
      <c r="I24" s="265"/>
      <c r="J24" s="265"/>
      <c r="K24" s="179"/>
    </row>
    <row r="25" spans="1:11" ht="10.5" customHeight="1" x14ac:dyDescent="0.25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5">
      <c r="A26" s="14"/>
      <c r="B26" s="179"/>
      <c r="C26" s="260" t="s">
        <v>162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5">
      <c r="A27" s="14"/>
      <c r="B27" s="179"/>
      <c r="C27" s="260" t="s">
        <v>161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5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5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5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5">
      <c r="A31" s="14"/>
      <c r="B31" s="179"/>
      <c r="C31" s="260" t="s">
        <v>162</v>
      </c>
      <c r="D31" s="260"/>
      <c r="E31" s="260"/>
      <c r="F31" s="260"/>
      <c r="G31" s="260"/>
      <c r="H31" s="261">
        <f>H26+H20+H12</f>
        <v>536953.18089674378</v>
      </c>
      <c r="I31" s="261"/>
      <c r="J31" s="261"/>
      <c r="K31" s="179"/>
    </row>
    <row r="32" spans="1:11" ht="24.6" customHeight="1" x14ac:dyDescent="0.25">
      <c r="A32" s="14"/>
      <c r="B32" s="179"/>
      <c r="C32" s="260" t="s">
        <v>161</v>
      </c>
      <c r="D32" s="260"/>
      <c r="E32" s="260"/>
      <c r="F32" s="260"/>
      <c r="G32" s="260"/>
      <c r="H32" s="262">
        <f>H27+H21+H13</f>
        <v>3.3645791145857746</v>
      </c>
      <c r="I32" s="262"/>
      <c r="J32" s="262"/>
      <c r="K32" s="179"/>
    </row>
    <row r="33" spans="1:13" ht="18.600000000000001" customHeight="1" x14ac:dyDescent="0.25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5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5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5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5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5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7.399999999999999" x14ac:dyDescent="0.25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5">
      <c r="K40" s="1"/>
    </row>
    <row r="41" spans="1:13" ht="32.25" customHeight="1" x14ac:dyDescent="0.25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5">
      <c r="B42" s="198" t="s">
        <v>178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5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5">
      <c r="B46" s="198" t="s">
        <v>170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5">
      <c r="B47" s="198" t="s">
        <v>172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5">
      <c r="B48" s="198" t="s">
        <v>171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5">
      <c r="B49" s="198" t="s">
        <v>173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5">
      <c r="B50" s="198" t="s">
        <v>174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5">
      <c r="B51" s="198" t="s">
        <v>175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5">
      <c r="B52" s="198" t="s">
        <v>176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5">
      <c r="B53" s="198" t="s">
        <v>177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5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5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5">
      <c r="C56" s="154" t="s">
        <v>72</v>
      </c>
      <c r="D56" s="185">
        <f>H12</f>
        <v>109106.21311755908</v>
      </c>
      <c r="E56" s="154"/>
      <c r="F56" s="154"/>
      <c r="G56" s="154"/>
      <c r="H56" s="154"/>
      <c r="I56" s="154"/>
      <c r="J56" s="154"/>
      <c r="K56" s="154"/>
    </row>
    <row r="57" spans="1:12" x14ac:dyDescent="0.25">
      <c r="C57" s="154" t="s">
        <v>70</v>
      </c>
      <c r="D57" s="185">
        <f>H20</f>
        <v>427846.96777918469</v>
      </c>
      <c r="E57" s="154"/>
      <c r="F57" s="154"/>
      <c r="G57" s="154"/>
      <c r="H57" s="154"/>
      <c r="I57" s="154"/>
      <c r="J57" s="154"/>
      <c r="K57" s="154"/>
    </row>
    <row r="58" spans="1:12" x14ac:dyDescent="0.25">
      <c r="C58" s="154" t="s">
        <v>167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5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5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5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5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5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5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5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5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5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5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5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5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5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5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5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5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5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5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5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5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5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5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/>
    <hyperlink ref="B53" r:id="rId2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Z58"/>
  <sheetViews>
    <sheetView zoomScale="97" zoomScaleNormal="97" workbookViewId="0">
      <selection activeCell="L36" sqref="L36"/>
    </sheetView>
  </sheetViews>
  <sheetFormatPr baseColWidth="10" defaultColWidth="11.44140625" defaultRowHeight="19.5" customHeight="1" x14ac:dyDescent="0.25"/>
  <cols>
    <col min="1" max="3" width="11.44140625" style="1"/>
    <col min="4" max="4" width="42.109375" style="1" customWidth="1"/>
    <col min="5" max="5" width="21.109375" style="1" customWidth="1"/>
    <col min="6" max="16384" width="11.44140625" style="1"/>
  </cols>
  <sheetData>
    <row r="2" spans="1:26" ht="36.9" customHeight="1" x14ac:dyDescent="0.3">
      <c r="A2" s="269" t="s">
        <v>107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5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3">
      <c r="A4" s="14"/>
      <c r="B4" s="276" t="s">
        <v>97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3">
      <c r="A5" s="14"/>
      <c r="B5" s="60"/>
      <c r="C5" s="61"/>
      <c r="D5" s="62" t="s">
        <v>96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3">
      <c r="A7" s="14"/>
      <c r="B7" s="276" t="s">
        <v>47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3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3">
      <c r="A9" s="14"/>
      <c r="B9" s="272" t="s">
        <v>48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5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5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5">
      <c r="A13" s="14"/>
      <c r="B13" s="274" t="s">
        <v>168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5">
      <c r="A14" s="14"/>
      <c r="B14" s="274" t="s">
        <v>5</v>
      </c>
      <c r="C14" s="275"/>
      <c r="D14" s="275"/>
      <c r="E14" s="34">
        <f>E46/E45</f>
        <v>1.2360485953351865E-2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5">
      <c r="A15" s="14"/>
      <c r="B15" s="279" t="s">
        <v>49</v>
      </c>
      <c r="C15" s="280"/>
      <c r="D15" s="280"/>
      <c r="E15" s="53">
        <f>E47/E45</f>
        <v>2.817795713338319E-2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5">
      <c r="A17" s="14"/>
      <c r="B17" s="276" t="s">
        <v>67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5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5">
      <c r="A19" s="14"/>
      <c r="B19" s="274" t="s">
        <v>68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5">
      <c r="A20" s="14"/>
      <c r="B20" s="279" t="s">
        <v>69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5">
      <c r="A22" s="14"/>
      <c r="B22" s="276" t="s">
        <v>103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5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5">
      <c r="A24" s="14"/>
      <c r="B24" s="279" t="s">
        <v>50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5">
      <c r="A26" s="14"/>
      <c r="B26" s="276" t="s">
        <v>187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5">
      <c r="A27" s="14"/>
      <c r="B27" s="45"/>
      <c r="C27" s="35"/>
      <c r="D27" s="14"/>
      <c r="E27" s="32" t="s">
        <v>179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5">
      <c r="A28" s="14"/>
      <c r="B28" s="270" t="s">
        <v>51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5">
      <c r="A29" s="14"/>
      <c r="B29" s="270" t="s">
        <v>52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5">
      <c r="A30" s="14"/>
      <c r="B30" s="272" t="s">
        <v>53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5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5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5">
      <c r="A34" s="14"/>
      <c r="B34" s="270" t="s">
        <v>57</v>
      </c>
      <c r="C34" s="271"/>
      <c r="D34" s="271"/>
      <c r="E34" s="69">
        <v>144070</v>
      </c>
      <c r="F34" s="69">
        <v>148770</v>
      </c>
      <c r="G34" s="69">
        <v>152510</v>
      </c>
      <c r="H34" s="69">
        <v>156050</v>
      </c>
      <c r="I34" s="70">
        <v>159590</v>
      </c>
      <c r="J34" s="14"/>
    </row>
    <row r="35" spans="1:10" ht="37.5" customHeight="1" x14ac:dyDescent="0.25">
      <c r="A35" s="14"/>
      <c r="B35" s="281"/>
      <c r="C35" s="282"/>
      <c r="D35" s="282"/>
      <c r="E35" s="32"/>
      <c r="F35" s="32" t="s">
        <v>59</v>
      </c>
      <c r="G35" s="32" t="s">
        <v>60</v>
      </c>
      <c r="H35" s="32" t="s">
        <v>61</v>
      </c>
      <c r="I35" s="71" t="s">
        <v>93</v>
      </c>
      <c r="J35" s="14"/>
    </row>
    <row r="36" spans="1:10" ht="19.5" customHeight="1" x14ac:dyDescent="0.25">
      <c r="A36" s="14"/>
      <c r="B36" s="272" t="s">
        <v>58</v>
      </c>
      <c r="C36" s="273"/>
      <c r="D36" s="273"/>
      <c r="E36" s="66"/>
      <c r="F36" s="67">
        <f>(F34-E34)/E34</f>
        <v>3.2623030471298671E-2</v>
      </c>
      <c r="G36" s="67">
        <f>(G34-F34)/F34</f>
        <v>2.5139477045103178E-2</v>
      </c>
      <c r="H36" s="67">
        <f>(H34-G34)/G34</f>
        <v>2.3211592682447053E-2</v>
      </c>
      <c r="I36" s="68">
        <f>(I34-H34)/H34</f>
        <v>2.2685036847164372E-2</v>
      </c>
      <c r="J36" s="14"/>
    </row>
    <row r="37" spans="1:10" ht="19.5" customHeight="1" x14ac:dyDescent="0.25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5">
      <c r="A38" s="14"/>
      <c r="B38" s="276" t="s">
        <v>118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5">
      <c r="A39" s="14"/>
      <c r="B39" s="58"/>
      <c r="C39" s="14"/>
      <c r="D39" s="14"/>
      <c r="E39" s="84" t="s">
        <v>179</v>
      </c>
      <c r="F39" s="14"/>
      <c r="G39" s="14"/>
      <c r="H39" s="14"/>
      <c r="I39" s="82"/>
      <c r="J39" s="14"/>
    </row>
    <row r="40" spans="1:10" ht="19.5" customHeight="1" x14ac:dyDescent="0.25">
      <c r="A40" s="14"/>
      <c r="B40" s="272" t="s">
        <v>188</v>
      </c>
      <c r="C40" s="273"/>
      <c r="D40" s="273"/>
      <c r="E40" s="80">
        <v>45.537462537462538</v>
      </c>
      <c r="F40" s="143" t="s">
        <v>185</v>
      </c>
      <c r="G40" s="61"/>
      <c r="H40" s="61"/>
      <c r="I40" s="83"/>
      <c r="J40" s="14"/>
    </row>
    <row r="41" spans="1:10" ht="19.5" customHeight="1" x14ac:dyDescent="0.25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5">
      <c r="A42" s="14"/>
      <c r="B42" s="276" t="s">
        <v>62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5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5">
      <c r="A44" s="14"/>
      <c r="B44" s="270" t="s">
        <v>108</v>
      </c>
      <c r="C44" s="271"/>
      <c r="D44" s="271"/>
      <c r="E44" s="73">
        <v>0.49192059415561878</v>
      </c>
      <c r="F44" s="73">
        <f>E44*(1+(F13*(F43-E43)))</f>
        <v>0.49192059415561878</v>
      </c>
      <c r="G44" s="73">
        <f t="shared" ref="G44:I44" si="0">F44*(1+(G13*(G43-F43)))</f>
        <v>0.49192059415561878</v>
      </c>
      <c r="H44" s="73">
        <f t="shared" si="0"/>
        <v>0.49192059415561878</v>
      </c>
      <c r="I44" s="190">
        <f t="shared" si="0"/>
        <v>0.49192059415561878</v>
      </c>
      <c r="J44" s="14"/>
    </row>
    <row r="45" spans="1:10" ht="19.5" customHeight="1" x14ac:dyDescent="0.25">
      <c r="A45" s="14"/>
      <c r="B45" s="270" t="s">
        <v>4</v>
      </c>
      <c r="C45" s="271"/>
      <c r="D45" s="271"/>
      <c r="E45" s="69">
        <v>70871</v>
      </c>
      <c r="F45" s="36">
        <f>F44*F34</f>
        <v>73183.026792531411</v>
      </c>
      <c r="G45" s="36">
        <f t="shared" ref="G45:I45" si="1">G44*G34</f>
        <v>75022.809814673426</v>
      </c>
      <c r="H45" s="36">
        <f t="shared" si="1"/>
        <v>76764.208717984307</v>
      </c>
      <c r="I45" s="74">
        <f t="shared" si="1"/>
        <v>78505.607621295203</v>
      </c>
      <c r="J45" s="14"/>
    </row>
    <row r="46" spans="1:10" ht="19.5" customHeight="1" x14ac:dyDescent="0.25">
      <c r="A46" s="14"/>
      <c r="B46" s="270" t="s">
        <v>2</v>
      </c>
      <c r="C46" s="271"/>
      <c r="D46" s="271"/>
      <c r="E46" s="69">
        <v>876</v>
      </c>
      <c r="F46" s="36">
        <f>F$45*F$14</f>
        <v>3659.1513396265709</v>
      </c>
      <c r="G46" s="36">
        <f>G$45*G$14</f>
        <v>22506.842944402026</v>
      </c>
      <c r="H46" s="36">
        <f>H$45*H$14</f>
        <v>46058.525230790583</v>
      </c>
      <c r="I46" s="74">
        <f>I$45*I$14</f>
        <v>78505.607621295203</v>
      </c>
      <c r="J46" s="14"/>
    </row>
    <row r="47" spans="1:10" ht="19.5" customHeight="1" x14ac:dyDescent="0.25">
      <c r="A47" s="14"/>
      <c r="B47" s="272" t="s">
        <v>3</v>
      </c>
      <c r="C47" s="273"/>
      <c r="D47" s="273"/>
      <c r="E47" s="75">
        <v>1997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5">
      <c r="A49" s="14"/>
      <c r="B49" s="276" t="s">
        <v>56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5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5">
      <c r="A51" s="14"/>
      <c r="B51" s="270" t="s">
        <v>55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5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3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5">
      <c r="A54" s="14"/>
      <c r="B54" s="276" t="s">
        <v>63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5">
      <c r="A55" s="14"/>
      <c r="B55" s="270" t="s">
        <v>143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5">
      <c r="A56" s="14"/>
      <c r="B56" s="270" t="s">
        <v>165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5">
      <c r="A57" s="14"/>
      <c r="B57" s="272" t="s">
        <v>166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5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8671875" defaultRowHeight="13.8" x14ac:dyDescent="0.25"/>
  <cols>
    <col min="1" max="1" width="10.88671875" style="1"/>
    <col min="2" max="2" width="44.6640625" style="1" customWidth="1"/>
    <col min="3" max="3" width="17" style="1" customWidth="1"/>
    <col min="4" max="4" width="14.88671875" style="1" customWidth="1"/>
    <col min="5" max="5" width="15" style="1" customWidth="1"/>
    <col min="6" max="6" width="11.88671875" style="1" bestFit="1" customWidth="1"/>
    <col min="7" max="7" width="14.44140625" style="1" bestFit="1" customWidth="1"/>
    <col min="8" max="8" width="14.44140625" style="1" customWidth="1"/>
    <col min="9" max="16384" width="10.88671875" style="1"/>
  </cols>
  <sheetData>
    <row r="2" spans="1:8" ht="38.1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3">
      <c r="B5" s="283" t="s">
        <v>72</v>
      </c>
      <c r="C5" s="283"/>
      <c r="D5" s="283"/>
      <c r="E5" s="283"/>
      <c r="F5" s="283"/>
      <c r="G5" s="283"/>
    </row>
    <row r="7" spans="1:8" x14ac:dyDescent="0.25">
      <c r="B7" s="14"/>
      <c r="C7" s="14"/>
      <c r="D7" s="14"/>
      <c r="E7" s="14"/>
      <c r="F7" s="14"/>
      <c r="G7" s="14"/>
      <c r="H7" s="14"/>
    </row>
    <row r="8" spans="1:8" ht="20.100000000000001" customHeight="1" x14ac:dyDescent="0.25">
      <c r="B8" s="276" t="s">
        <v>64</v>
      </c>
      <c r="C8" s="277"/>
      <c r="D8" s="277"/>
      <c r="E8" s="277"/>
      <c r="F8" s="277"/>
      <c r="G8" s="277"/>
      <c r="H8" s="14"/>
    </row>
    <row r="9" spans="1:8" ht="19.5" customHeight="1" x14ac:dyDescent="0.25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5">
      <c r="B10" s="87" t="s">
        <v>66</v>
      </c>
      <c r="C10" s="93">
        <v>505138.72000000015</v>
      </c>
      <c r="D10" s="94">
        <f>D11+D12+D13+D14+D15</f>
        <v>458202.83765761775</v>
      </c>
      <c r="E10" s="94">
        <f>E11+E12+E13+E14+D15</f>
        <v>518610.33356631442</v>
      </c>
      <c r="F10" s="94">
        <f>F11+F12+F13+F14+D15</f>
        <v>593955.74052270688</v>
      </c>
      <c r="G10" s="95">
        <f>G11+G12+G13+G14+D15</f>
        <v>697063.06558779534</v>
      </c>
      <c r="H10" s="14"/>
    </row>
    <row r="11" spans="1:8" ht="19.5" customHeight="1" x14ac:dyDescent="0.25">
      <c r="B11" s="88" t="s">
        <v>6</v>
      </c>
      <c r="C11" s="96">
        <v>177557.87999999998</v>
      </c>
      <c r="D11" s="97">
        <f>C11/'Basis-Annahmen'!E34*((1-'Basis-Annahmen'!F19)^(D9-C9))*'Basis-Annahmen'!F34</f>
        <v>170005.4759180343</v>
      </c>
      <c r="E11" s="97">
        <f>D11/'Basis-Annahmen'!F34*((1-'Basis-Annahmen'!G19)^5)*'Basis-Annahmen'!G34</f>
        <v>161594.6658620383</v>
      </c>
      <c r="F11" s="97">
        <f>E11/'Basis-Annahmen'!G34*((1-'Basis-Annahmen'!H19)^5)*'Basis-Annahmen'!H34</f>
        <v>153311.10903917431</v>
      </c>
      <c r="G11" s="98">
        <f>F11/'Basis-Annahmen'!H34*((1-'Basis-Annahmen'!I19)^5)*'Basis-Annahmen'!I34</f>
        <v>145377.32704590767</v>
      </c>
      <c r="H11" s="14"/>
    </row>
    <row r="12" spans="1:8" ht="19.5" customHeight="1" x14ac:dyDescent="0.25">
      <c r="B12" s="88" t="s">
        <v>102</v>
      </c>
      <c r="C12" s="96">
        <v>274134.2900000001</v>
      </c>
      <c r="D12" s="97">
        <f>((1-'Basis-Annahmen'!F20)^(D9-C9))*((1+'Basis-Annahmen'!F9)^(D9-C9))*C12</f>
        <v>266343.04515374335</v>
      </c>
      <c r="E12" s="97">
        <f>((1-'Basis-Annahmen'!G20)^5)*((1+'Basis-Annahmen'!G9)^5)*D12</f>
        <v>279409.93240502151</v>
      </c>
      <c r="F12" s="97">
        <f>((1-'Basis-Annahmen'!H20)^5)*((1+'Basis-Annahmen'!H9)^5)*E12</f>
        <v>293117.88592607615</v>
      </c>
      <c r="G12" s="98">
        <f>((1-'Basis-Annahmen'!I20)^5)*((1+'Basis-Annahmen'!I9)^5)*F12</f>
        <v>307498.35666267131</v>
      </c>
      <c r="H12" s="14"/>
    </row>
    <row r="13" spans="1:8" ht="19.5" customHeight="1" x14ac:dyDescent="0.25">
      <c r="B13" s="88" t="s">
        <v>7</v>
      </c>
      <c r="C13" s="96">
        <v>12666.160000000002</v>
      </c>
      <c r="D13" s="97">
        <f>C13*((1-'Basis-Annahmen'!F20)^(D9-C9))</f>
        <v>10876.862566960312</v>
      </c>
      <c r="E13" s="97">
        <f>D13*((1-'Basis-Annahmen'!G20)^5)</f>
        <v>10085.206466048534</v>
      </c>
      <c r="F13" s="97">
        <f>E13*((1-'Basis-Annahmen'!H20)^5)</f>
        <v>9351.1698650847065</v>
      </c>
      <c r="G13" s="98">
        <f>F13*((1-'Basis-Annahmen'!I20)^5)</f>
        <v>8670.5590153306748</v>
      </c>
      <c r="H13" s="14"/>
    </row>
    <row r="14" spans="1:8" ht="19.5" customHeight="1" x14ac:dyDescent="0.25">
      <c r="B14" s="88" t="s">
        <v>8</v>
      </c>
      <c r="C14" s="96"/>
      <c r="D14" s="97">
        <f>'Basis-Annahmen'!F46*'Basis-Annahmen'!F51+'Basis-Annahmen'!F47*'Basis-Annahmen'!F52</f>
        <v>10977.454018879713</v>
      </c>
      <c r="E14" s="97">
        <f>'Basis-Annahmen'!G46*'Basis-Annahmen'!G51+'Basis-Annahmen'!G47*'Basis-Annahmen'!G52</f>
        <v>67520.528833206074</v>
      </c>
      <c r="F14" s="97">
        <f>'Basis-Annahmen'!H46*'Basis-Annahmen'!H51+'Basis-Annahmen'!H47*'Basis-Annahmen'!H52</f>
        <v>138175.57569237176</v>
      </c>
      <c r="G14" s="98">
        <f>'Basis-Annahmen'!I46*'Basis-Annahmen'!I51+'Basis-Annahmen'!I47*'Basis-Annahmen'!I52</f>
        <v>235516.82286388561</v>
      </c>
      <c r="H14" s="14"/>
    </row>
    <row r="15" spans="1:8" ht="19.5" customHeight="1" x14ac:dyDescent="0.25">
      <c r="B15" s="90" t="s">
        <v>70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5">
      <c r="B16" s="88" t="s">
        <v>94</v>
      </c>
      <c r="C16" s="106"/>
      <c r="D16" s="101">
        <f>(D10-$C$10)/$C$10</f>
        <v>-9.291681766620935E-2</v>
      </c>
      <c r="E16" s="101">
        <f>(E10-$C$10)/$C$10</f>
        <v>2.6669136680542473E-2</v>
      </c>
      <c r="F16" s="101">
        <f t="shared" ref="F16" si="0">(F10-$C$10)/$C$10</f>
        <v>0.17582698970830568</v>
      </c>
      <c r="G16" s="102">
        <f>(G10-$C$10)/$C$10</f>
        <v>0.37994384114485452</v>
      </c>
      <c r="H16" s="14"/>
    </row>
    <row r="17" spans="1:10" ht="19.5" customHeight="1" x14ac:dyDescent="0.25">
      <c r="B17" s="89" t="s">
        <v>95</v>
      </c>
      <c r="C17" s="107"/>
      <c r="D17" s="104">
        <f>D14/D10</f>
        <v>2.3957629933061175E-2</v>
      </c>
      <c r="E17" s="104">
        <f>E14/E10</f>
        <v>0.13019510885733684</v>
      </c>
      <c r="F17" s="104">
        <f>F14/F10</f>
        <v>0.2326361482267538</v>
      </c>
      <c r="G17" s="105">
        <f>G14/G10</f>
        <v>0.33787017917135959</v>
      </c>
      <c r="H17" s="14"/>
    </row>
    <row r="18" spans="1:10" x14ac:dyDescent="0.25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5">
      <c r="B19" s="276" t="s">
        <v>71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5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5">
      <c r="B21" s="120" t="s">
        <v>22</v>
      </c>
      <c r="C21" s="121">
        <v>151532</v>
      </c>
      <c r="G21" s="111"/>
    </row>
    <row r="22" spans="1:10" s="14" customFormat="1" ht="19.5" customHeight="1" x14ac:dyDescent="0.25">
      <c r="B22" s="110" t="s">
        <v>14</v>
      </c>
      <c r="C22" s="122">
        <v>1139</v>
      </c>
      <c r="D22" s="112"/>
      <c r="E22" s="112"/>
      <c r="G22" s="82"/>
    </row>
    <row r="23" spans="1:10" s="14" customFormat="1" ht="19.5" customHeight="1" x14ac:dyDescent="0.25">
      <c r="B23" s="110" t="s">
        <v>15</v>
      </c>
      <c r="C23" s="122">
        <v>80949</v>
      </c>
      <c r="D23" s="112"/>
      <c r="E23" s="112"/>
      <c r="G23" s="82"/>
      <c r="J23" s="146"/>
    </row>
    <row r="24" spans="1:10" s="14" customFormat="1" ht="19.5" customHeight="1" x14ac:dyDescent="0.25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5">
      <c r="B25" s="110" t="s">
        <v>21</v>
      </c>
      <c r="C25" s="122">
        <v>1400</v>
      </c>
      <c r="D25" s="112"/>
      <c r="E25" s="112"/>
      <c r="G25" s="82"/>
    </row>
    <row r="26" spans="1:10" s="14" customFormat="1" ht="19.5" customHeight="1" x14ac:dyDescent="0.25">
      <c r="B26" s="110" t="s">
        <v>17</v>
      </c>
      <c r="C26" s="122">
        <v>69444</v>
      </c>
      <c r="D26" s="112"/>
      <c r="E26" s="112"/>
      <c r="G26" s="82"/>
    </row>
    <row r="27" spans="1:10" s="14" customFormat="1" ht="19.5" customHeight="1" x14ac:dyDescent="0.25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5">
      <c r="B28" s="109"/>
      <c r="C28" s="123"/>
      <c r="D28" s="112"/>
      <c r="E28" s="112"/>
      <c r="G28" s="82"/>
    </row>
    <row r="29" spans="1:10" s="14" customFormat="1" ht="19.5" customHeight="1" x14ac:dyDescent="0.25">
      <c r="B29" s="124" t="s">
        <v>110</v>
      </c>
      <c r="C29" s="126">
        <f>IF(C10-C21&lt;0,0,C10-C21)</f>
        <v>353606.72000000015</v>
      </c>
      <c r="D29" s="61"/>
      <c r="E29" s="61"/>
      <c r="F29" s="61"/>
      <c r="G29" s="127"/>
    </row>
    <row r="30" spans="1:10" x14ac:dyDescent="0.25">
      <c r="B30" s="14"/>
      <c r="C30" s="14"/>
      <c r="D30" s="14"/>
      <c r="E30" s="14"/>
      <c r="F30" s="14"/>
      <c r="G30" s="14"/>
      <c r="H30" s="14"/>
    </row>
    <row r="31" spans="1:10" x14ac:dyDescent="0.25">
      <c r="B31" s="14"/>
      <c r="C31" s="14"/>
      <c r="D31" s="14"/>
      <c r="E31" s="14"/>
      <c r="F31" s="14"/>
      <c r="G31" s="14"/>
      <c r="H31" s="14"/>
    </row>
    <row r="32" spans="1:10" ht="34.5" customHeight="1" x14ac:dyDescent="0.25">
      <c r="A32" s="128"/>
      <c r="B32" s="284" t="s">
        <v>70</v>
      </c>
      <c r="C32" s="284"/>
      <c r="D32" s="284"/>
      <c r="E32" s="284"/>
      <c r="F32" s="284"/>
      <c r="G32" s="284"/>
      <c r="H32" s="14"/>
    </row>
    <row r="35" spans="1:8" ht="19.5" customHeight="1" x14ac:dyDescent="0.25">
      <c r="A35" s="14"/>
      <c r="B35" s="276" t="s">
        <v>65</v>
      </c>
      <c r="C35" s="277"/>
      <c r="D35" s="277"/>
      <c r="E35" s="277"/>
      <c r="F35" s="277"/>
      <c r="G35" s="277"/>
      <c r="H35" s="14"/>
    </row>
    <row r="36" spans="1:8" ht="19.5" customHeight="1" x14ac:dyDescent="0.25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5">
      <c r="A37" s="14"/>
      <c r="B37" s="115" t="s">
        <v>66</v>
      </c>
      <c r="C37" s="93">
        <v>1580245</v>
      </c>
      <c r="D37" s="94">
        <f>SUM(D38:D40)</f>
        <v>1636491.3755148344</v>
      </c>
      <c r="E37" s="94">
        <f>SUM(E38:E40)</f>
        <v>1682338.6177728728</v>
      </c>
      <c r="F37" s="94">
        <f t="shared" ref="F37:G37" si="1">SUM(F38:F40)</f>
        <v>1730014.7675053189</v>
      </c>
      <c r="G37" s="95">
        <f t="shared" si="1"/>
        <v>1782695.6990799361</v>
      </c>
      <c r="H37" s="14"/>
    </row>
    <row r="38" spans="1:8" ht="19.5" customHeight="1" x14ac:dyDescent="0.25">
      <c r="A38" s="14"/>
      <c r="B38" s="113" t="s">
        <v>6</v>
      </c>
      <c r="C38" s="96">
        <v>808918.99000000011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798798.51663836173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782648.8832367633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763716.9108741259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744784.93851148849</v>
      </c>
      <c r="H38" s="14"/>
    </row>
    <row r="39" spans="1:8" ht="19.5" customHeight="1" x14ac:dyDescent="0.25">
      <c r="A39" s="14"/>
      <c r="B39" s="113" t="s">
        <v>102</v>
      </c>
      <c r="C39" s="96">
        <v>749404.74</v>
      </c>
      <c r="D39" s="97">
        <f>C39*((1-'Basis-Annahmen'!F$24)^(D36-C36))*((1+'Basis-Annahmen'!F$9)^(D36-C36))</f>
        <v>806327.98989458964</v>
      </c>
      <c r="E39" s="97">
        <f>((1-'Basis-Annahmen'!G$24)^5)*((1+'Basis-Annahmen'!G$9)^5)*'Nachfrage &amp; Erzeugung'!D39</f>
        <v>867575.01331983751</v>
      </c>
      <c r="F39" s="97">
        <f>((1-'Basis-Annahmen'!H$24)^5)*((1+'Basis-Annahmen'!H$9)^5)*'Nachfrage &amp; Erzeugung'!E39</f>
        <v>933474.23526165087</v>
      </c>
      <c r="G39" s="98">
        <f>((1-'Basis-Annahmen'!I$24)^5)*((1+'Basis-Annahmen'!I$9)^5)*'Nachfrage &amp; Erzeugung'!F39</f>
        <v>1004379.0271955261</v>
      </c>
      <c r="H39" s="14"/>
    </row>
    <row r="40" spans="1:8" ht="19.5" customHeight="1" x14ac:dyDescent="0.25">
      <c r="A40" s="14"/>
      <c r="B40" s="113" t="s">
        <v>7</v>
      </c>
      <c r="C40" s="96">
        <v>30421.079999999994</v>
      </c>
      <c r="D40" s="97">
        <f>C40+(C40*'Basis-Annahmen'!F36)*((1-'Basis-Annahmen'!F24)^(D36-C36))</f>
        <v>31364.868981883079</v>
      </c>
      <c r="E40" s="97">
        <f>D40+(D40*'Basis-Annahmen'!G36)*((1-'Basis-Annahmen'!G24)^5)</f>
        <v>32114.721216271886</v>
      </c>
      <c r="F40" s="97">
        <f>E40+(E40*'Basis-Annahmen'!H36)*((1-'Basis-Annahmen'!H24)^5)</f>
        <v>32823.621369542059</v>
      </c>
      <c r="G40" s="98">
        <f>F40+(F40*'Basis-Annahmen'!I36)*((1-'Basis-Annahmen'!I24)^5)</f>
        <v>33531.733372921633</v>
      </c>
      <c r="H40" s="14"/>
    </row>
    <row r="41" spans="1:8" ht="19.5" customHeight="1" x14ac:dyDescent="0.25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5">
      <c r="A42" s="14"/>
      <c r="B42" s="124" t="s">
        <v>94</v>
      </c>
      <c r="C42" s="103"/>
      <c r="D42" s="104">
        <f>(D37-$C$37)/$C$37</f>
        <v>3.5593452606927672E-2</v>
      </c>
      <c r="E42" s="104">
        <f>(E37-$C$37)/$C$37</f>
        <v>6.4606195730961213E-2</v>
      </c>
      <c r="F42" s="104">
        <f>(F37-$C$37)/$C$37</f>
        <v>9.4776295767630248E-2</v>
      </c>
      <c r="G42" s="105">
        <f>(G37-$C$37)/$C$37</f>
        <v>0.12811348814894916</v>
      </c>
      <c r="H42" s="14"/>
    </row>
    <row r="43" spans="1:8" x14ac:dyDescent="0.25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5">
      <c r="A44" s="14"/>
      <c r="B44" s="276" t="s">
        <v>73</v>
      </c>
      <c r="C44" s="277"/>
      <c r="D44" s="277"/>
      <c r="E44" s="277"/>
      <c r="F44" s="277"/>
      <c r="G44" s="278"/>
      <c r="H44" s="14"/>
    </row>
    <row r="45" spans="1:8" ht="19.5" customHeight="1" x14ac:dyDescent="0.25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5">
      <c r="A46" s="14"/>
      <c r="B46" s="118" t="s">
        <v>54</v>
      </c>
      <c r="C46" s="119">
        <v>312099</v>
      </c>
      <c r="D46" s="117"/>
      <c r="E46" s="100"/>
      <c r="F46" s="100"/>
      <c r="G46" s="82"/>
      <c r="H46" s="14"/>
    </row>
    <row r="47" spans="1:8" ht="19.5" customHeight="1" x14ac:dyDescent="0.25">
      <c r="A47" s="72"/>
      <c r="B47" s="124" t="s">
        <v>74</v>
      </c>
      <c r="C47" s="125">
        <f>IF(C37-C46&lt;0,0,C37-C46)</f>
        <v>1268146</v>
      </c>
      <c r="D47" s="125"/>
      <c r="E47" s="103"/>
      <c r="F47" s="103"/>
      <c r="G47" s="83"/>
      <c r="H47" s="14"/>
    </row>
    <row r="48" spans="1:8" x14ac:dyDescent="0.25">
      <c r="A48" s="14"/>
      <c r="B48" s="14"/>
      <c r="C48" s="14"/>
      <c r="D48" s="14"/>
      <c r="E48" s="14"/>
      <c r="F48" s="14"/>
      <c r="G48" s="14"/>
      <c r="H48" s="14"/>
    </row>
    <row r="49" spans="1:8" x14ac:dyDescent="0.25">
      <c r="A49" s="14"/>
      <c r="B49" s="14"/>
      <c r="C49" s="85"/>
      <c r="D49" s="14"/>
      <c r="E49" s="14"/>
      <c r="F49" s="14"/>
      <c r="G49" s="14"/>
      <c r="H49" s="14"/>
    </row>
    <row r="50" spans="1:8" ht="15.6" x14ac:dyDescent="0.25">
      <c r="A50" s="14"/>
      <c r="B50" s="276" t="s">
        <v>135</v>
      </c>
      <c r="C50" s="277"/>
      <c r="D50" s="277"/>
      <c r="E50" s="277"/>
      <c r="F50" s="277"/>
      <c r="G50" s="278"/>
      <c r="H50" s="14"/>
    </row>
    <row r="51" spans="1:8" ht="52.5" customHeight="1" x14ac:dyDescent="0.25">
      <c r="A51" s="14"/>
      <c r="B51" s="164" t="s">
        <v>134</v>
      </c>
      <c r="C51" s="165" t="s">
        <v>140</v>
      </c>
      <c r="D51" s="165" t="s">
        <v>141</v>
      </c>
      <c r="E51" s="165" t="s">
        <v>142</v>
      </c>
      <c r="F51" s="165" t="s">
        <v>136</v>
      </c>
      <c r="G51" s="92"/>
      <c r="H51" s="14"/>
    </row>
    <row r="52" spans="1:8" ht="19.5" customHeight="1" x14ac:dyDescent="0.25">
      <c r="A52" s="14"/>
      <c r="B52" s="166"/>
      <c r="C52" s="167">
        <v>0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5">
      <c r="A53" s="14"/>
      <c r="B53" s="166"/>
      <c r="C53" s="167">
        <v>0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5">
      <c r="A54" s="14"/>
      <c r="B54" s="166"/>
      <c r="C54" s="167">
        <v>0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5">
      <c r="A55" s="14"/>
      <c r="B55" s="166"/>
      <c r="C55" s="167">
        <v>0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5">
      <c r="A56" s="14"/>
      <c r="B56" s="166"/>
      <c r="C56" s="167">
        <v>0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5">
      <c r="A57" s="14"/>
      <c r="B57" s="166"/>
      <c r="C57" s="167">
        <v>0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5">
      <c r="A58" s="14"/>
      <c r="B58" s="166"/>
      <c r="C58" s="167">
        <v>0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5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5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5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5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5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5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5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5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5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5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5">
      <c r="A69" s="14"/>
      <c r="B69" s="169" t="s">
        <v>137</v>
      </c>
      <c r="C69" s="170">
        <f>SUM(C52:C68)</f>
        <v>0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0</v>
      </c>
      <c r="G69" s="163"/>
      <c r="H69" s="14"/>
    </row>
    <row r="70" spans="1:8" x14ac:dyDescent="0.25">
      <c r="B70" s="14"/>
      <c r="C70" s="14"/>
      <c r="D70" s="14"/>
      <c r="E70" s="14"/>
      <c r="F70" s="14"/>
      <c r="G70" s="14"/>
      <c r="H70" s="14"/>
    </row>
    <row r="71" spans="1:8" x14ac:dyDescent="0.25">
      <c r="B71" s="14"/>
      <c r="C71" s="14"/>
      <c r="D71" s="14"/>
      <c r="E71" s="14"/>
      <c r="F71" s="14"/>
      <c r="G71" s="14"/>
      <c r="H71" s="14"/>
    </row>
    <row r="72" spans="1:8" x14ac:dyDescent="0.25">
      <c r="B72" s="14"/>
      <c r="C72" s="14"/>
      <c r="D72" s="14"/>
      <c r="E72" s="14"/>
      <c r="F72" s="14"/>
      <c r="G72" s="14"/>
      <c r="H72" s="14"/>
    </row>
    <row r="73" spans="1:8" x14ac:dyDescent="0.25">
      <c r="B73" s="14"/>
      <c r="C73" s="14"/>
      <c r="D73" s="14"/>
      <c r="E73" s="14"/>
      <c r="F73" s="14"/>
      <c r="G73" s="14"/>
      <c r="H73" s="14"/>
    </row>
    <row r="74" spans="1:8" x14ac:dyDescent="0.25">
      <c r="B74" s="14"/>
      <c r="C74" s="14"/>
      <c r="D74" s="14"/>
      <c r="E74" s="14"/>
      <c r="F74" s="14"/>
      <c r="G74" s="14"/>
      <c r="H74" s="14"/>
    </row>
    <row r="75" spans="1:8" x14ac:dyDescent="0.25">
      <c r="B75" s="14"/>
      <c r="C75" s="14"/>
      <c r="D75" s="14"/>
      <c r="E75" s="14"/>
      <c r="F75" s="14"/>
      <c r="G75" s="14"/>
      <c r="H75" s="14"/>
    </row>
    <row r="76" spans="1:8" x14ac:dyDescent="0.25">
      <c r="B76" s="14"/>
      <c r="C76" s="14"/>
      <c r="D76" s="14"/>
      <c r="E76" s="14"/>
      <c r="F76" s="14"/>
      <c r="G76" s="14"/>
      <c r="H76" s="14"/>
    </row>
    <row r="77" spans="1:8" x14ac:dyDescent="0.25">
      <c r="B77" s="14"/>
      <c r="C77" s="14"/>
      <c r="D77" s="14"/>
      <c r="E77" s="14"/>
      <c r="F77" s="14"/>
      <c r="G77" s="14"/>
      <c r="H77" s="14"/>
    </row>
    <row r="78" spans="1:8" x14ac:dyDescent="0.25">
      <c r="B78" s="14"/>
      <c r="C78" s="14"/>
      <c r="D78" s="14"/>
      <c r="E78" s="14"/>
      <c r="F78" s="14"/>
      <c r="G78" s="14"/>
      <c r="H78" s="14"/>
    </row>
    <row r="79" spans="1:8" x14ac:dyDescent="0.25">
      <c r="B79" s="14"/>
      <c r="C79" s="14"/>
      <c r="D79" s="14"/>
      <c r="E79" s="14"/>
      <c r="F79" s="14"/>
      <c r="G79" s="14"/>
      <c r="H79" s="14"/>
    </row>
    <row r="80" spans="1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  <row r="147" spans="2:8" x14ac:dyDescent="0.25">
      <c r="B147" s="14"/>
      <c r="C147" s="14"/>
      <c r="D147" s="14"/>
      <c r="E147" s="14"/>
      <c r="F147" s="14"/>
      <c r="G147" s="14"/>
      <c r="H147" s="14"/>
    </row>
    <row r="148" spans="2:8" x14ac:dyDescent="0.25">
      <c r="B148" s="14"/>
      <c r="C148" s="14"/>
      <c r="D148" s="14"/>
      <c r="E148" s="14"/>
      <c r="F148" s="14"/>
      <c r="G148" s="14"/>
      <c r="H148" s="14"/>
    </row>
    <row r="149" spans="2:8" x14ac:dyDescent="0.25">
      <c r="B149" s="14"/>
      <c r="C149" s="14"/>
      <c r="D149" s="14"/>
      <c r="E149" s="14"/>
      <c r="F149" s="14"/>
      <c r="G149" s="14"/>
      <c r="H149" s="14"/>
    </row>
    <row r="150" spans="2:8" x14ac:dyDescent="0.25">
      <c r="B150" s="14"/>
      <c r="C150" s="14"/>
      <c r="D150" s="14"/>
      <c r="E150" s="14"/>
      <c r="F150" s="14"/>
      <c r="G150" s="14"/>
      <c r="H150" s="14"/>
    </row>
    <row r="151" spans="2:8" x14ac:dyDescent="0.25">
      <c r="B151" s="14"/>
      <c r="C151" s="14"/>
      <c r="D151" s="14"/>
      <c r="E151" s="14"/>
      <c r="F151" s="14"/>
      <c r="G151" s="14"/>
      <c r="H151" s="14"/>
    </row>
    <row r="152" spans="2:8" x14ac:dyDescent="0.25">
      <c r="B152" s="14"/>
      <c r="C152" s="14"/>
      <c r="D152" s="14"/>
      <c r="E152" s="14"/>
      <c r="F152" s="14"/>
      <c r="G152" s="14"/>
      <c r="H152" s="14"/>
    </row>
    <row r="153" spans="2:8" x14ac:dyDescent="0.25">
      <c r="B153" s="14"/>
      <c r="C153" s="14"/>
      <c r="D153" s="14"/>
      <c r="E153" s="14"/>
      <c r="F153" s="14"/>
      <c r="G153" s="14"/>
      <c r="H153" s="14"/>
    </row>
    <row r="154" spans="2:8" x14ac:dyDescent="0.25">
      <c r="B154" s="14"/>
      <c r="C154" s="14"/>
      <c r="D154" s="14"/>
      <c r="E154" s="14"/>
      <c r="F154" s="14"/>
      <c r="G154" s="14"/>
      <c r="H154" s="14"/>
    </row>
    <row r="155" spans="2:8" x14ac:dyDescent="0.25">
      <c r="B155" s="14"/>
      <c r="C155" s="14"/>
      <c r="D155" s="14"/>
      <c r="E155" s="14"/>
      <c r="F155" s="14"/>
      <c r="G155" s="14"/>
      <c r="H155" s="14"/>
    </row>
    <row r="156" spans="2:8" x14ac:dyDescent="0.25">
      <c r="B156" s="14"/>
      <c r="C156" s="14"/>
      <c r="D156" s="14"/>
      <c r="E156" s="14"/>
      <c r="F156" s="14"/>
      <c r="G156" s="14"/>
      <c r="H156" s="14"/>
    </row>
    <row r="157" spans="2:8" x14ac:dyDescent="0.25">
      <c r="B157" s="14"/>
      <c r="C157" s="14"/>
      <c r="D157" s="14"/>
      <c r="E157" s="14"/>
      <c r="F157" s="14"/>
      <c r="G157" s="14"/>
      <c r="H157" s="14"/>
    </row>
    <row r="158" spans="2:8" x14ac:dyDescent="0.25">
      <c r="B158" s="14"/>
      <c r="C158" s="14"/>
      <c r="D158" s="14"/>
      <c r="E158" s="14"/>
      <c r="F158" s="14"/>
      <c r="G158" s="14"/>
      <c r="H158" s="14"/>
    </row>
    <row r="159" spans="2:8" x14ac:dyDescent="0.25">
      <c r="B159" s="14"/>
      <c r="C159" s="14"/>
      <c r="D159" s="14"/>
      <c r="E159" s="14"/>
      <c r="F159" s="14"/>
      <c r="G159" s="14"/>
      <c r="H159" s="14"/>
    </row>
    <row r="160" spans="2:8" x14ac:dyDescent="0.25">
      <c r="B160" s="14"/>
      <c r="C160" s="14"/>
      <c r="D160" s="14"/>
      <c r="E160" s="14"/>
      <c r="F160" s="14"/>
      <c r="G160" s="14"/>
      <c r="H160" s="14"/>
    </row>
    <row r="161" spans="2:8" x14ac:dyDescent="0.25">
      <c r="B161" s="14"/>
      <c r="C161" s="14"/>
      <c r="D161" s="14"/>
      <c r="E161" s="14"/>
      <c r="F161" s="14"/>
      <c r="G161" s="14"/>
      <c r="H161" s="14"/>
    </row>
    <row r="162" spans="2:8" x14ac:dyDescent="0.25">
      <c r="B162" s="14"/>
      <c r="C162" s="14"/>
      <c r="D162" s="14"/>
      <c r="E162" s="14"/>
      <c r="F162" s="14"/>
      <c r="G162" s="14"/>
      <c r="H162" s="14"/>
    </row>
    <row r="163" spans="2:8" x14ac:dyDescent="0.25">
      <c r="B163" s="14"/>
      <c r="C163" s="14"/>
      <c r="D163" s="14"/>
      <c r="E163" s="14"/>
      <c r="F163" s="14"/>
      <c r="G163" s="14"/>
      <c r="H163" s="14"/>
    </row>
    <row r="164" spans="2:8" x14ac:dyDescent="0.25">
      <c r="B164" s="14"/>
      <c r="C164" s="14"/>
      <c r="D164" s="14"/>
      <c r="E164" s="14"/>
      <c r="F164" s="14"/>
      <c r="G164" s="14"/>
      <c r="H164" s="14"/>
    </row>
    <row r="165" spans="2:8" x14ac:dyDescent="0.25">
      <c r="B165" s="14"/>
      <c r="C165" s="14"/>
      <c r="D165" s="14"/>
      <c r="E165" s="14"/>
      <c r="F165" s="14"/>
      <c r="G165" s="14"/>
      <c r="H165" s="14"/>
    </row>
    <row r="166" spans="2:8" x14ac:dyDescent="0.25">
      <c r="B166" s="14"/>
      <c r="C166" s="14"/>
      <c r="D166" s="14"/>
      <c r="E166" s="14"/>
      <c r="F166" s="14"/>
      <c r="G166" s="14"/>
      <c r="H166" s="14"/>
    </row>
    <row r="167" spans="2:8" x14ac:dyDescent="0.25">
      <c r="B167" s="14"/>
      <c r="C167" s="14"/>
      <c r="D167" s="14"/>
      <c r="E167" s="14"/>
      <c r="F167" s="14"/>
      <c r="G167" s="14"/>
      <c r="H167" s="14"/>
    </row>
    <row r="168" spans="2:8" x14ac:dyDescent="0.25">
      <c r="B168" s="14"/>
      <c r="C168" s="14"/>
      <c r="D168" s="14"/>
      <c r="E168" s="14"/>
      <c r="F168" s="14"/>
      <c r="G168" s="14"/>
      <c r="H168" s="14"/>
    </row>
    <row r="169" spans="2:8" x14ac:dyDescent="0.25">
      <c r="B169" s="14"/>
      <c r="C169" s="14"/>
      <c r="D169" s="14"/>
      <c r="E169" s="14"/>
      <c r="F169" s="14"/>
      <c r="G169" s="14"/>
      <c r="H169" s="14"/>
    </row>
    <row r="170" spans="2:8" x14ac:dyDescent="0.25">
      <c r="B170" s="14"/>
      <c r="C170" s="14"/>
      <c r="D170" s="14"/>
      <c r="E170" s="14"/>
      <c r="F170" s="14"/>
      <c r="G170" s="14"/>
      <c r="H170" s="14"/>
    </row>
    <row r="171" spans="2:8" x14ac:dyDescent="0.25">
      <c r="B171" s="14"/>
      <c r="C171" s="14"/>
      <c r="D171" s="14"/>
      <c r="E171" s="14"/>
      <c r="F171" s="14"/>
      <c r="G171" s="14"/>
      <c r="H171" s="14"/>
    </row>
    <row r="172" spans="2:8" x14ac:dyDescent="0.25">
      <c r="B172" s="14"/>
      <c r="C172" s="14"/>
      <c r="D172" s="14"/>
      <c r="E172" s="14"/>
      <c r="F172" s="14"/>
      <c r="G172" s="14"/>
      <c r="H172" s="14"/>
    </row>
    <row r="173" spans="2:8" x14ac:dyDescent="0.25">
      <c r="B173" s="14"/>
      <c r="C173" s="14"/>
      <c r="D173" s="14"/>
      <c r="E173" s="14"/>
      <c r="F173" s="14"/>
      <c r="G173" s="14"/>
      <c r="H173" s="14"/>
    </row>
    <row r="174" spans="2:8" x14ac:dyDescent="0.25">
      <c r="B174" s="14"/>
      <c r="C174" s="14"/>
      <c r="D174" s="14"/>
      <c r="E174" s="14"/>
      <c r="F174" s="14"/>
      <c r="G174" s="14"/>
      <c r="H174" s="14"/>
    </row>
    <row r="175" spans="2:8" x14ac:dyDescent="0.25">
      <c r="B175" s="14"/>
      <c r="C175" s="14"/>
      <c r="D175" s="14"/>
      <c r="E175" s="14"/>
      <c r="F175" s="14"/>
      <c r="G175" s="14"/>
      <c r="H175" s="14"/>
    </row>
    <row r="176" spans="2:8" x14ac:dyDescent="0.25">
      <c r="B176" s="14"/>
      <c r="C176" s="14"/>
      <c r="D176" s="14"/>
      <c r="E176" s="14"/>
      <c r="F176" s="14"/>
      <c r="G176" s="14"/>
      <c r="H176" s="14"/>
    </row>
    <row r="177" spans="2:8" x14ac:dyDescent="0.25">
      <c r="B177" s="14"/>
      <c r="C177" s="14"/>
      <c r="D177" s="14"/>
      <c r="E177" s="14"/>
      <c r="F177" s="14"/>
      <c r="G177" s="14"/>
      <c r="H177" s="14"/>
    </row>
    <row r="178" spans="2:8" x14ac:dyDescent="0.25">
      <c r="B178" s="14"/>
      <c r="C178" s="14"/>
      <c r="D178" s="14"/>
      <c r="E178" s="14"/>
      <c r="F178" s="14"/>
      <c r="G178" s="14"/>
      <c r="H178" s="14"/>
    </row>
    <row r="179" spans="2:8" x14ac:dyDescent="0.25">
      <c r="B179" s="14"/>
      <c r="C179" s="14"/>
      <c r="D179" s="14"/>
      <c r="E179" s="14"/>
      <c r="F179" s="14"/>
      <c r="G179" s="14"/>
      <c r="H179" s="14"/>
    </row>
    <row r="180" spans="2:8" x14ac:dyDescent="0.25">
      <c r="B180" s="14"/>
      <c r="C180" s="14"/>
      <c r="D180" s="14"/>
      <c r="E180" s="14"/>
      <c r="F180" s="14"/>
      <c r="G180" s="14"/>
      <c r="H180" s="14"/>
    </row>
    <row r="181" spans="2:8" x14ac:dyDescent="0.25">
      <c r="B181" s="14"/>
      <c r="C181" s="14"/>
      <c r="D181" s="14"/>
      <c r="E181" s="14"/>
      <c r="F181" s="14"/>
      <c r="G181" s="14"/>
      <c r="H181" s="14"/>
    </row>
    <row r="182" spans="2:8" x14ac:dyDescent="0.25">
      <c r="B182" s="14"/>
      <c r="C182" s="14"/>
      <c r="D182" s="14"/>
      <c r="E182" s="14"/>
      <c r="F182" s="14"/>
      <c r="G182" s="14"/>
      <c r="H182" s="14"/>
    </row>
    <row r="183" spans="2:8" x14ac:dyDescent="0.25">
      <c r="B183" s="14"/>
      <c r="C183" s="14"/>
      <c r="D183" s="14"/>
      <c r="E183" s="14"/>
      <c r="F183" s="14"/>
      <c r="G183" s="14"/>
      <c r="H183" s="14"/>
    </row>
    <row r="184" spans="2:8" x14ac:dyDescent="0.25">
      <c r="B184" s="14"/>
      <c r="C184" s="14"/>
      <c r="D184" s="14"/>
      <c r="E184" s="14"/>
      <c r="F184" s="14"/>
      <c r="G184" s="14"/>
      <c r="H184" s="14"/>
    </row>
    <row r="185" spans="2:8" x14ac:dyDescent="0.25">
      <c r="B185" s="14"/>
      <c r="C185" s="14"/>
      <c r="D185" s="14"/>
      <c r="E185" s="14"/>
      <c r="F185" s="14"/>
      <c r="G185" s="14"/>
      <c r="H185" s="14"/>
    </row>
    <row r="186" spans="2:8" x14ac:dyDescent="0.25">
      <c r="B186" s="14"/>
      <c r="C186" s="14"/>
      <c r="D186" s="14"/>
      <c r="E186" s="14"/>
      <c r="F186" s="14"/>
      <c r="G186" s="14"/>
      <c r="H186" s="14"/>
    </row>
    <row r="187" spans="2:8" x14ac:dyDescent="0.25">
      <c r="B187" s="14"/>
      <c r="C187" s="14"/>
      <c r="D187" s="14"/>
      <c r="E187" s="14"/>
      <c r="F187" s="14"/>
      <c r="G187" s="14"/>
      <c r="H187" s="14"/>
    </row>
    <row r="188" spans="2:8" x14ac:dyDescent="0.25">
      <c r="B188" s="14"/>
      <c r="C188" s="14"/>
      <c r="D188" s="14"/>
      <c r="E188" s="14"/>
      <c r="F188" s="14"/>
      <c r="G188" s="14"/>
      <c r="H188" s="14"/>
    </row>
    <row r="189" spans="2:8" x14ac:dyDescent="0.25">
      <c r="B189" s="14"/>
      <c r="C189" s="14"/>
      <c r="D189" s="14"/>
      <c r="E189" s="14"/>
      <c r="F189" s="14"/>
      <c r="G189" s="14"/>
      <c r="H189" s="14"/>
    </row>
    <row r="190" spans="2:8" x14ac:dyDescent="0.25">
      <c r="B190" s="14"/>
      <c r="C190" s="14"/>
      <c r="D190" s="14"/>
      <c r="E190" s="14"/>
      <c r="F190" s="14"/>
      <c r="G190" s="14"/>
      <c r="H190" s="14"/>
    </row>
    <row r="191" spans="2:8" x14ac:dyDescent="0.25">
      <c r="B191" s="14"/>
      <c r="C191" s="14"/>
      <c r="D191" s="14"/>
      <c r="E191" s="14"/>
      <c r="F191" s="14"/>
      <c r="G191" s="14"/>
      <c r="H191" s="14"/>
    </row>
    <row r="192" spans="2:8" x14ac:dyDescent="0.25">
      <c r="B192" s="14"/>
      <c r="C192" s="14"/>
      <c r="D192" s="14"/>
      <c r="E192" s="14"/>
      <c r="F192" s="14"/>
      <c r="G192" s="14"/>
      <c r="H192" s="14"/>
    </row>
    <row r="193" spans="2:8" x14ac:dyDescent="0.25">
      <c r="B193" s="14"/>
      <c r="C193" s="14"/>
      <c r="D193" s="14"/>
      <c r="E193" s="14"/>
      <c r="F193" s="14"/>
      <c r="G193" s="14"/>
      <c r="H193" s="14"/>
    </row>
    <row r="194" spans="2:8" x14ac:dyDescent="0.25">
      <c r="B194" s="14"/>
      <c r="C194" s="14"/>
      <c r="D194" s="14"/>
      <c r="E194" s="14"/>
      <c r="F194" s="14"/>
      <c r="G194" s="14"/>
      <c r="H194" s="14"/>
    </row>
    <row r="195" spans="2:8" x14ac:dyDescent="0.25">
      <c r="B195" s="14"/>
      <c r="C195" s="14"/>
      <c r="D195" s="14"/>
      <c r="E195" s="14"/>
      <c r="F195" s="14"/>
      <c r="G195" s="14"/>
      <c r="H195" s="14"/>
    </row>
    <row r="196" spans="2:8" x14ac:dyDescent="0.25">
      <c r="B196" s="14"/>
      <c r="C196" s="14"/>
      <c r="D196" s="14"/>
      <c r="E196" s="14"/>
      <c r="F196" s="14"/>
      <c r="G196" s="14"/>
      <c r="H196" s="14"/>
    </row>
    <row r="197" spans="2:8" x14ac:dyDescent="0.25">
      <c r="B197" s="14"/>
      <c r="C197" s="14"/>
      <c r="D197" s="14"/>
      <c r="E197" s="14"/>
      <c r="F197" s="14"/>
      <c r="G197" s="14"/>
      <c r="H197" s="14"/>
    </row>
    <row r="198" spans="2:8" x14ac:dyDescent="0.25">
      <c r="B198" s="14"/>
      <c r="C198" s="14"/>
      <c r="D198" s="14"/>
      <c r="E198" s="14"/>
      <c r="F198" s="14"/>
      <c r="G198" s="14"/>
      <c r="H198" s="14"/>
    </row>
    <row r="199" spans="2:8" x14ac:dyDescent="0.25">
      <c r="B199" s="14"/>
      <c r="C199" s="14"/>
      <c r="D199" s="14"/>
      <c r="E199" s="14"/>
      <c r="F199" s="14"/>
      <c r="G199" s="14"/>
      <c r="H199" s="14"/>
    </row>
    <row r="200" spans="2:8" x14ac:dyDescent="0.25">
      <c r="B200" s="14"/>
      <c r="C200" s="14"/>
      <c r="D200" s="14"/>
      <c r="E200" s="14"/>
      <c r="F200" s="14"/>
      <c r="G200" s="14"/>
      <c r="H200" s="14"/>
    </row>
    <row r="201" spans="2:8" x14ac:dyDescent="0.25">
      <c r="B201" s="14"/>
      <c r="C201" s="14"/>
      <c r="D201" s="14"/>
      <c r="E201" s="14"/>
      <c r="F201" s="14"/>
      <c r="G201" s="14"/>
      <c r="H201" s="14"/>
    </row>
    <row r="202" spans="2:8" x14ac:dyDescent="0.25">
      <c r="B202" s="14"/>
      <c r="C202" s="14"/>
      <c r="D202" s="14"/>
      <c r="E202" s="14"/>
      <c r="F202" s="14"/>
      <c r="G202" s="14"/>
      <c r="H202" s="14"/>
    </row>
    <row r="203" spans="2:8" x14ac:dyDescent="0.25">
      <c r="B203" s="14"/>
      <c r="C203" s="14"/>
      <c r="D203" s="14"/>
      <c r="E203" s="14"/>
      <c r="F203" s="14"/>
      <c r="G203" s="14"/>
      <c r="H203" s="14"/>
    </row>
    <row r="204" spans="2:8" x14ac:dyDescent="0.25">
      <c r="B204" s="14"/>
      <c r="C204" s="14"/>
      <c r="D204" s="14"/>
      <c r="E204" s="14"/>
      <c r="F204" s="14"/>
      <c r="G204" s="14"/>
      <c r="H204" s="14"/>
    </row>
    <row r="205" spans="2:8" x14ac:dyDescent="0.25">
      <c r="B205" s="14"/>
      <c r="C205" s="14"/>
      <c r="D205" s="14"/>
      <c r="E205" s="14"/>
      <c r="F205" s="14"/>
      <c r="G205" s="14"/>
      <c r="H205" s="14"/>
    </row>
    <row r="206" spans="2:8" x14ac:dyDescent="0.25">
      <c r="B206" s="14"/>
      <c r="C206" s="14"/>
      <c r="D206" s="14"/>
      <c r="E206" s="14"/>
      <c r="F206" s="14"/>
      <c r="G206" s="14"/>
      <c r="H206" s="14"/>
    </row>
    <row r="207" spans="2:8" x14ac:dyDescent="0.25">
      <c r="B207" s="14"/>
      <c r="C207" s="14"/>
      <c r="D207" s="14"/>
      <c r="E207" s="14"/>
      <c r="F207" s="14"/>
      <c r="G207" s="14"/>
      <c r="H207" s="14"/>
    </row>
    <row r="208" spans="2:8" x14ac:dyDescent="0.25">
      <c r="B208" s="14"/>
      <c r="C208" s="14"/>
      <c r="D208" s="14"/>
      <c r="E208" s="14"/>
      <c r="F208" s="14"/>
      <c r="G208" s="14"/>
      <c r="H208" s="14"/>
    </row>
    <row r="209" spans="2:8" x14ac:dyDescent="0.25">
      <c r="B209" s="14"/>
      <c r="C209" s="14"/>
      <c r="D209" s="14"/>
      <c r="E209" s="14"/>
      <c r="F209" s="14"/>
      <c r="G209" s="14"/>
      <c r="H209" s="14"/>
    </row>
    <row r="210" spans="2:8" x14ac:dyDescent="0.25">
      <c r="B210" s="14"/>
      <c r="C210" s="14"/>
      <c r="D210" s="14"/>
      <c r="E210" s="14"/>
      <c r="F210" s="14"/>
      <c r="G210" s="14"/>
      <c r="H210" s="14"/>
    </row>
    <row r="211" spans="2:8" x14ac:dyDescent="0.25">
      <c r="B211" s="14"/>
      <c r="C211" s="14"/>
      <c r="D211" s="14"/>
      <c r="E211" s="14"/>
      <c r="F211" s="14"/>
      <c r="G211" s="14"/>
      <c r="H211" s="14"/>
    </row>
    <row r="212" spans="2:8" x14ac:dyDescent="0.25">
      <c r="B212" s="14"/>
      <c r="C212" s="14"/>
      <c r="D212" s="14"/>
      <c r="E212" s="14"/>
      <c r="F212" s="14"/>
      <c r="G212" s="14"/>
      <c r="H212" s="14"/>
    </row>
    <row r="213" spans="2:8" x14ac:dyDescent="0.25">
      <c r="B213" s="14"/>
      <c r="C213" s="14"/>
      <c r="D213" s="14"/>
      <c r="E213" s="14"/>
      <c r="F213" s="14"/>
      <c r="G213" s="14"/>
      <c r="H213" s="14"/>
    </row>
    <row r="214" spans="2:8" x14ac:dyDescent="0.25">
      <c r="B214" s="14"/>
      <c r="C214" s="14"/>
      <c r="D214" s="14"/>
      <c r="E214" s="14"/>
      <c r="F214" s="14"/>
      <c r="G214" s="14"/>
      <c r="H214" s="14"/>
    </row>
    <row r="215" spans="2:8" x14ac:dyDescent="0.25">
      <c r="B215" s="14"/>
      <c r="C215" s="14"/>
      <c r="D215" s="14"/>
      <c r="E215" s="14"/>
      <c r="F215" s="14"/>
      <c r="G215" s="14"/>
      <c r="H215" s="14"/>
    </row>
    <row r="216" spans="2:8" x14ac:dyDescent="0.25">
      <c r="B216" s="14"/>
      <c r="C216" s="14"/>
      <c r="D216" s="14"/>
      <c r="E216" s="14"/>
      <c r="F216" s="14"/>
      <c r="G216" s="14"/>
      <c r="H216" s="14"/>
    </row>
    <row r="217" spans="2:8" x14ac:dyDescent="0.25">
      <c r="B217" s="14"/>
      <c r="C217" s="14"/>
      <c r="D217" s="14"/>
      <c r="E217" s="14"/>
      <c r="F217" s="14"/>
      <c r="G217" s="14"/>
      <c r="H217" s="14"/>
    </row>
    <row r="218" spans="2:8" x14ac:dyDescent="0.25">
      <c r="B218" s="14"/>
      <c r="C218" s="14"/>
      <c r="D218" s="14"/>
      <c r="E218" s="14"/>
      <c r="F218" s="14"/>
      <c r="G218" s="14"/>
      <c r="H218" s="14"/>
    </row>
    <row r="219" spans="2:8" x14ac:dyDescent="0.25">
      <c r="B219" s="14"/>
      <c r="C219" s="14"/>
      <c r="D219" s="14"/>
      <c r="E219" s="14"/>
      <c r="F219" s="14"/>
      <c r="G219" s="14"/>
      <c r="H219" s="14"/>
    </row>
    <row r="220" spans="2:8" x14ac:dyDescent="0.25">
      <c r="B220" s="14"/>
      <c r="C220" s="14"/>
      <c r="D220" s="14"/>
      <c r="E220" s="14"/>
      <c r="F220" s="14"/>
      <c r="G220" s="14"/>
      <c r="H220" s="14"/>
    </row>
    <row r="221" spans="2:8" x14ac:dyDescent="0.25">
      <c r="B221" s="14"/>
      <c r="C221" s="14"/>
      <c r="D221" s="14"/>
      <c r="E221" s="14"/>
      <c r="F221" s="14"/>
      <c r="G221" s="14"/>
      <c r="H221" s="14"/>
    </row>
    <row r="222" spans="2:8" x14ac:dyDescent="0.25">
      <c r="B222" s="14"/>
      <c r="C222" s="14"/>
      <c r="D222" s="14"/>
      <c r="E222" s="14"/>
      <c r="F222" s="14"/>
      <c r="G222" s="14"/>
      <c r="H222" s="14"/>
    </row>
    <row r="223" spans="2:8" x14ac:dyDescent="0.25">
      <c r="B223" s="14"/>
      <c r="C223" s="14"/>
      <c r="D223" s="14"/>
      <c r="E223" s="14"/>
      <c r="F223" s="14"/>
      <c r="G223" s="14"/>
      <c r="H223" s="14"/>
    </row>
    <row r="224" spans="2:8" x14ac:dyDescent="0.25">
      <c r="B224" s="14"/>
      <c r="C224" s="14"/>
      <c r="D224" s="14"/>
      <c r="E224" s="14"/>
      <c r="F224" s="14"/>
      <c r="G224" s="14"/>
      <c r="H224" s="14"/>
    </row>
    <row r="225" spans="2:8" x14ac:dyDescent="0.25">
      <c r="B225" s="14"/>
      <c r="C225" s="14"/>
      <c r="D225" s="14"/>
      <c r="E225" s="14"/>
      <c r="F225" s="14"/>
      <c r="G225" s="14"/>
      <c r="H225" s="14"/>
    </row>
    <row r="226" spans="2:8" x14ac:dyDescent="0.25">
      <c r="B226" s="14"/>
      <c r="C226" s="14"/>
      <c r="D226" s="14"/>
      <c r="E226" s="14"/>
      <c r="F226" s="14"/>
      <c r="G226" s="14"/>
      <c r="H226" s="14"/>
    </row>
    <row r="227" spans="2:8" x14ac:dyDescent="0.25">
      <c r="B227" s="14"/>
      <c r="C227" s="14"/>
      <c r="D227" s="14"/>
      <c r="E227" s="14"/>
      <c r="F227" s="14"/>
      <c r="G227" s="14"/>
      <c r="H227" s="14"/>
    </row>
    <row r="228" spans="2:8" x14ac:dyDescent="0.25">
      <c r="B228" s="14"/>
      <c r="C228" s="14"/>
      <c r="D228" s="14"/>
      <c r="E228" s="14"/>
      <c r="F228" s="14"/>
      <c r="G228" s="14"/>
      <c r="H228" s="14"/>
    </row>
    <row r="229" spans="2:8" x14ac:dyDescent="0.25">
      <c r="B229" s="14"/>
      <c r="C229" s="14"/>
      <c r="D229" s="14"/>
      <c r="E229" s="14"/>
      <c r="F229" s="14"/>
      <c r="G229" s="14"/>
      <c r="H229" s="14"/>
    </row>
    <row r="230" spans="2:8" x14ac:dyDescent="0.25">
      <c r="B230" s="14"/>
      <c r="C230" s="14"/>
      <c r="D230" s="14"/>
      <c r="E230" s="14"/>
      <c r="F230" s="14"/>
      <c r="G230" s="14"/>
      <c r="H230" s="14"/>
    </row>
    <row r="231" spans="2:8" x14ac:dyDescent="0.25">
      <c r="B231" s="14"/>
      <c r="C231" s="14"/>
      <c r="D231" s="14"/>
      <c r="E231" s="14"/>
      <c r="F231" s="14"/>
      <c r="G231" s="14"/>
      <c r="H231" s="14"/>
    </row>
    <row r="232" spans="2:8" x14ac:dyDescent="0.25">
      <c r="B232" s="14"/>
      <c r="C232" s="14"/>
      <c r="D232" s="14"/>
      <c r="E232" s="14"/>
      <c r="F232" s="14"/>
      <c r="G232" s="14"/>
      <c r="H232" s="14"/>
    </row>
    <row r="233" spans="2:8" x14ac:dyDescent="0.25">
      <c r="B233" s="14"/>
      <c r="C233" s="14"/>
      <c r="D233" s="14"/>
      <c r="E233" s="14"/>
      <c r="F233" s="14"/>
      <c r="G233" s="14"/>
      <c r="H233" s="14"/>
    </row>
    <row r="234" spans="2:8" x14ac:dyDescent="0.25">
      <c r="B234" s="14"/>
      <c r="C234" s="14"/>
      <c r="D234" s="14"/>
      <c r="E234" s="14"/>
      <c r="F234" s="14"/>
      <c r="G234" s="14"/>
      <c r="H234" s="14"/>
    </row>
    <row r="235" spans="2:8" x14ac:dyDescent="0.25">
      <c r="B235" s="14"/>
      <c r="C235" s="14"/>
      <c r="D235" s="14"/>
      <c r="E235" s="14"/>
      <c r="F235" s="14"/>
      <c r="G235" s="14"/>
      <c r="H235" s="14"/>
    </row>
    <row r="236" spans="2:8" x14ac:dyDescent="0.25">
      <c r="B236" s="14"/>
      <c r="C236" s="14"/>
      <c r="D236" s="14"/>
      <c r="E236" s="14"/>
      <c r="F236" s="14"/>
      <c r="G236" s="14"/>
      <c r="H236" s="14"/>
    </row>
    <row r="237" spans="2:8" x14ac:dyDescent="0.25">
      <c r="B237" s="14"/>
      <c r="C237" s="14"/>
      <c r="D237" s="14"/>
      <c r="E237" s="14"/>
      <c r="F237" s="14"/>
      <c r="G237" s="14"/>
      <c r="H237" s="14"/>
    </row>
    <row r="238" spans="2:8" x14ac:dyDescent="0.25">
      <c r="B238" s="14"/>
      <c r="C238" s="14"/>
      <c r="D238" s="14"/>
      <c r="E238" s="14"/>
      <c r="F238" s="14"/>
      <c r="G238" s="14"/>
      <c r="H238" s="14"/>
    </row>
    <row r="239" spans="2:8" x14ac:dyDescent="0.25">
      <c r="B239" s="14"/>
      <c r="C239" s="14"/>
      <c r="D239" s="14"/>
      <c r="E239" s="14"/>
      <c r="F239" s="14"/>
      <c r="G239" s="14"/>
      <c r="H239" s="14"/>
    </row>
    <row r="240" spans="2:8" x14ac:dyDescent="0.25">
      <c r="B240" s="14"/>
      <c r="C240" s="14"/>
      <c r="D240" s="14"/>
      <c r="E240" s="14"/>
      <c r="F240" s="14"/>
      <c r="G240" s="14"/>
      <c r="H240" s="14"/>
    </row>
    <row r="241" spans="2:8" x14ac:dyDescent="0.25">
      <c r="B241" s="14"/>
      <c r="C241" s="14"/>
      <c r="D241" s="14"/>
      <c r="E241" s="14"/>
      <c r="F241" s="14"/>
      <c r="G241" s="14"/>
      <c r="H241" s="14"/>
    </row>
    <row r="242" spans="2:8" x14ac:dyDescent="0.25">
      <c r="B242" s="14"/>
      <c r="C242" s="14"/>
      <c r="D242" s="14"/>
      <c r="E242" s="14"/>
      <c r="F242" s="14"/>
      <c r="G242" s="14"/>
      <c r="H242" s="14"/>
    </row>
    <row r="243" spans="2:8" x14ac:dyDescent="0.25">
      <c r="B243" s="14"/>
      <c r="C243" s="14"/>
      <c r="D243" s="14"/>
      <c r="E243" s="14"/>
      <c r="F243" s="14"/>
      <c r="G243" s="14"/>
      <c r="H243" s="14"/>
    </row>
    <row r="244" spans="2:8" x14ac:dyDescent="0.25">
      <c r="B244" s="14"/>
      <c r="C244" s="14"/>
      <c r="D244" s="14"/>
      <c r="E244" s="14"/>
      <c r="F244" s="14"/>
      <c r="G244" s="14"/>
      <c r="H244" s="14"/>
    </row>
    <row r="245" spans="2:8" x14ac:dyDescent="0.25">
      <c r="B245" s="14"/>
      <c r="C245" s="14"/>
      <c r="D245" s="14"/>
      <c r="E245" s="14"/>
      <c r="F245" s="14"/>
      <c r="G245" s="14"/>
      <c r="H245" s="14"/>
    </row>
    <row r="246" spans="2:8" x14ac:dyDescent="0.25">
      <c r="B246" s="14"/>
      <c r="C246" s="14"/>
      <c r="D246" s="14"/>
      <c r="E246" s="14"/>
      <c r="F246" s="14"/>
      <c r="G246" s="14"/>
      <c r="H246" s="14"/>
    </row>
    <row r="247" spans="2:8" x14ac:dyDescent="0.25">
      <c r="B247" s="14"/>
      <c r="C247" s="14"/>
      <c r="D247" s="14"/>
      <c r="E247" s="14"/>
      <c r="F247" s="14"/>
      <c r="G247" s="14"/>
      <c r="H247" s="14"/>
    </row>
    <row r="248" spans="2:8" x14ac:dyDescent="0.25">
      <c r="B248" s="14"/>
      <c r="C248" s="14"/>
      <c r="D248" s="14"/>
      <c r="E248" s="14"/>
      <c r="F248" s="14"/>
      <c r="G248" s="14"/>
      <c r="H248" s="14"/>
    </row>
    <row r="249" spans="2:8" x14ac:dyDescent="0.25">
      <c r="B249" s="14"/>
      <c r="C249" s="14"/>
      <c r="D249" s="14"/>
      <c r="E249" s="14"/>
      <c r="F249" s="14"/>
      <c r="G249" s="14"/>
      <c r="H249" s="14"/>
    </row>
    <row r="250" spans="2:8" x14ac:dyDescent="0.25">
      <c r="B250" s="14"/>
      <c r="C250" s="14"/>
      <c r="D250" s="14"/>
      <c r="E250" s="14"/>
      <c r="F250" s="14"/>
      <c r="G250" s="14"/>
      <c r="H250" s="14"/>
    </row>
    <row r="251" spans="2:8" x14ac:dyDescent="0.25">
      <c r="B251" s="14"/>
      <c r="C251" s="14"/>
      <c r="D251" s="14"/>
      <c r="E251" s="14"/>
      <c r="F251" s="14"/>
      <c r="G251" s="14"/>
      <c r="H251" s="14"/>
    </row>
    <row r="252" spans="2:8" x14ac:dyDescent="0.25">
      <c r="B252" s="14"/>
      <c r="C252" s="14"/>
      <c r="D252" s="14"/>
      <c r="E252" s="14"/>
      <c r="F252" s="14"/>
      <c r="G252" s="14"/>
      <c r="H252" s="14"/>
    </row>
    <row r="253" spans="2:8" x14ac:dyDescent="0.25">
      <c r="B253" s="14"/>
      <c r="C253" s="14"/>
      <c r="D253" s="14"/>
      <c r="E253" s="14"/>
      <c r="F253" s="14"/>
      <c r="G253" s="14"/>
      <c r="H253" s="14"/>
    </row>
    <row r="254" spans="2:8" x14ac:dyDescent="0.25">
      <c r="B254" s="14"/>
      <c r="C254" s="14"/>
      <c r="D254" s="14"/>
      <c r="E254" s="14"/>
      <c r="F254" s="14"/>
      <c r="G254" s="14"/>
      <c r="H254" s="14"/>
    </row>
    <row r="255" spans="2:8" x14ac:dyDescent="0.25">
      <c r="B255" s="14"/>
      <c r="C255" s="14"/>
      <c r="D255" s="14"/>
      <c r="E255" s="14"/>
      <c r="F255" s="14"/>
      <c r="G255" s="14"/>
      <c r="H255" s="14"/>
    </row>
    <row r="256" spans="2:8" x14ac:dyDescent="0.25">
      <c r="B256" s="14"/>
      <c r="C256" s="14"/>
      <c r="D256" s="14"/>
      <c r="E256" s="14"/>
      <c r="F256" s="14"/>
      <c r="G256" s="14"/>
      <c r="H256" s="14"/>
    </row>
    <row r="257" spans="2:8" x14ac:dyDescent="0.25">
      <c r="B257" s="14"/>
      <c r="C257" s="14"/>
      <c r="D257" s="14"/>
      <c r="E257" s="14"/>
      <c r="F257" s="14"/>
      <c r="G257" s="14"/>
      <c r="H257" s="14"/>
    </row>
    <row r="258" spans="2:8" x14ac:dyDescent="0.25">
      <c r="B258" s="14"/>
      <c r="C258" s="14"/>
      <c r="D258" s="14"/>
      <c r="E258" s="14"/>
      <c r="F258" s="14"/>
      <c r="G258" s="14"/>
      <c r="H258" s="14"/>
    </row>
    <row r="259" spans="2:8" x14ac:dyDescent="0.25">
      <c r="B259" s="14"/>
      <c r="C259" s="14"/>
      <c r="D259" s="14"/>
      <c r="E259" s="14"/>
      <c r="F259" s="14"/>
      <c r="G259" s="14"/>
      <c r="H259" s="14"/>
    </row>
    <row r="260" spans="2:8" x14ac:dyDescent="0.25">
      <c r="B260" s="14"/>
      <c r="C260" s="14"/>
      <c r="D260" s="14"/>
      <c r="E260" s="14"/>
      <c r="F260" s="14"/>
      <c r="G260" s="14"/>
      <c r="H260" s="14"/>
    </row>
    <row r="261" spans="2:8" x14ac:dyDescent="0.25">
      <c r="B261" s="14"/>
      <c r="C261" s="14"/>
      <c r="D261" s="14"/>
      <c r="E261" s="14"/>
      <c r="F261" s="14"/>
      <c r="G261" s="14"/>
      <c r="H261" s="14"/>
    </row>
    <row r="262" spans="2:8" x14ac:dyDescent="0.25">
      <c r="B262" s="14"/>
      <c r="C262" s="14"/>
      <c r="D262" s="14"/>
      <c r="E262" s="14"/>
      <c r="F262" s="14"/>
      <c r="G262" s="14"/>
      <c r="H262" s="14"/>
    </row>
    <row r="263" spans="2:8" x14ac:dyDescent="0.25">
      <c r="B263" s="14"/>
      <c r="C263" s="14"/>
      <c r="D263" s="14"/>
      <c r="E263" s="14"/>
      <c r="F263" s="14"/>
      <c r="G263" s="14"/>
      <c r="H263" s="14"/>
    </row>
    <row r="264" spans="2:8" x14ac:dyDescent="0.25">
      <c r="B264" s="14"/>
      <c r="C264" s="14"/>
      <c r="D264" s="14"/>
      <c r="E264" s="14"/>
      <c r="F264" s="14"/>
      <c r="G264" s="14"/>
      <c r="H264" s="14"/>
    </row>
    <row r="265" spans="2:8" x14ac:dyDescent="0.25">
      <c r="B265" s="14"/>
      <c r="C265" s="14"/>
      <c r="D265" s="14"/>
      <c r="E265" s="14"/>
      <c r="F265" s="14"/>
      <c r="G265" s="14"/>
      <c r="H265" s="14"/>
    </row>
    <row r="266" spans="2:8" x14ac:dyDescent="0.25">
      <c r="B266" s="14"/>
      <c r="C266" s="14"/>
      <c r="D266" s="14"/>
      <c r="E266" s="14"/>
      <c r="F266" s="14"/>
      <c r="G266" s="14"/>
      <c r="H266" s="14"/>
    </row>
    <row r="267" spans="2:8" x14ac:dyDescent="0.25">
      <c r="B267" s="14"/>
      <c r="C267" s="14"/>
      <c r="D267" s="14"/>
      <c r="E267" s="14"/>
      <c r="F267" s="14"/>
      <c r="G267" s="14"/>
      <c r="H267" s="14"/>
    </row>
    <row r="268" spans="2:8" x14ac:dyDescent="0.25">
      <c r="B268" s="14"/>
      <c r="C268" s="14"/>
      <c r="D268" s="14"/>
      <c r="E268" s="14"/>
      <c r="F268" s="14"/>
      <c r="G268" s="14"/>
      <c r="H268" s="14"/>
    </row>
    <row r="269" spans="2:8" x14ac:dyDescent="0.25">
      <c r="B269" s="14"/>
      <c r="C269" s="14"/>
      <c r="D269" s="14"/>
      <c r="E269" s="14"/>
      <c r="F269" s="14"/>
      <c r="G269" s="14"/>
      <c r="H269" s="14"/>
    </row>
    <row r="270" spans="2:8" x14ac:dyDescent="0.25">
      <c r="B270" s="14"/>
      <c r="C270" s="14"/>
      <c r="D270" s="14"/>
      <c r="E270" s="14"/>
      <c r="F270" s="14"/>
      <c r="G270" s="14"/>
      <c r="H270" s="14"/>
    </row>
    <row r="271" spans="2:8" x14ac:dyDescent="0.25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4140625" defaultRowHeight="13.8" x14ac:dyDescent="0.3"/>
  <cols>
    <col min="1" max="2" width="11.44140625" style="3"/>
    <col min="3" max="3" width="41.6640625" style="3" customWidth="1"/>
    <col min="4" max="4" width="22" style="3" bestFit="1" customWidth="1"/>
    <col min="5" max="5" width="11.44140625" style="3"/>
    <col min="6" max="6" width="13.33203125" style="3" customWidth="1"/>
    <col min="7" max="7" width="16.109375" style="3" customWidth="1"/>
    <col min="8" max="11" width="11.44140625" style="3"/>
    <col min="12" max="12" width="23.109375" style="3" customWidth="1"/>
    <col min="13" max="16384" width="11.44140625" style="3"/>
  </cols>
  <sheetData>
    <row r="2" spans="1:6" ht="37.5" customHeight="1" x14ac:dyDescent="0.3">
      <c r="A2" s="269" t="s">
        <v>26</v>
      </c>
      <c r="B2" s="269"/>
      <c r="C2" s="269"/>
      <c r="D2" s="269"/>
      <c r="E2" s="269"/>
      <c r="F2" s="269"/>
    </row>
    <row r="5" spans="1:6" ht="34.5" customHeight="1" x14ac:dyDescent="0.3">
      <c r="A5" s="129"/>
      <c r="B5" s="283" t="s">
        <v>22</v>
      </c>
      <c r="C5" s="283"/>
      <c r="D5" s="283"/>
      <c r="E5" s="283"/>
      <c r="F5" s="129"/>
    </row>
    <row r="8" spans="1:6" ht="19.5" customHeight="1" x14ac:dyDescent="0.3">
      <c r="B8" s="276" t="s">
        <v>0</v>
      </c>
      <c r="C8" s="277"/>
      <c r="D8" s="277"/>
      <c r="E8" s="278"/>
    </row>
    <row r="9" spans="1:6" s="130" customFormat="1" ht="19.5" customHeight="1" x14ac:dyDescent="0.3">
      <c r="B9" s="287" t="s">
        <v>19</v>
      </c>
      <c r="C9" s="288"/>
      <c r="D9" s="93">
        <f>D11*D10</f>
        <v>2115000</v>
      </c>
      <c r="E9" s="131" t="s">
        <v>13</v>
      </c>
    </row>
    <row r="10" spans="1:6" s="130" customFormat="1" ht="19.5" customHeight="1" x14ac:dyDescent="0.3">
      <c r="B10" s="299" t="s">
        <v>126</v>
      </c>
      <c r="C10" s="300"/>
      <c r="D10" s="96">
        <v>235</v>
      </c>
      <c r="E10" s="145" t="s">
        <v>127</v>
      </c>
    </row>
    <row r="11" spans="1:6" s="130" customFormat="1" ht="19.5" customHeight="1" x14ac:dyDescent="0.3">
      <c r="B11" s="289" t="s">
        <v>12</v>
      </c>
      <c r="C11" s="290"/>
      <c r="D11" s="142">
        <v>9000</v>
      </c>
      <c r="E11" s="141" t="s">
        <v>13</v>
      </c>
    </row>
    <row r="12" spans="1:6" s="130" customFormat="1" ht="13.2" x14ac:dyDescent="0.3">
      <c r="D12" s="132"/>
    </row>
    <row r="13" spans="1:6" ht="15.6" x14ac:dyDescent="0.3">
      <c r="B13" s="276" t="s">
        <v>111</v>
      </c>
      <c r="C13" s="277"/>
      <c r="D13" s="277"/>
      <c r="E13" s="278"/>
    </row>
    <row r="14" spans="1:6" s="130" customFormat="1" ht="19.5" customHeight="1" x14ac:dyDescent="0.3">
      <c r="B14" s="303" t="s">
        <v>19</v>
      </c>
      <c r="C14" s="304"/>
      <c r="D14" s="93">
        <f>D15*D18</f>
        <v>594880.19999999995</v>
      </c>
      <c r="E14" s="133" t="s">
        <v>13</v>
      </c>
    </row>
    <row r="15" spans="1:6" s="130" customFormat="1" ht="19.5" customHeight="1" x14ac:dyDescent="0.3">
      <c r="B15" s="301" t="s">
        <v>148</v>
      </c>
      <c r="C15" s="302"/>
      <c r="D15" s="173">
        <v>3965868</v>
      </c>
      <c r="E15" s="135" t="s">
        <v>30</v>
      </c>
    </row>
    <row r="16" spans="1:6" s="130" customFormat="1" ht="19.5" customHeight="1" x14ac:dyDescent="0.3">
      <c r="B16" s="301" t="s">
        <v>20</v>
      </c>
      <c r="C16" s="302"/>
      <c r="D16" s="134">
        <v>6</v>
      </c>
      <c r="E16" s="135" t="s">
        <v>119</v>
      </c>
      <c r="F16" s="136"/>
    </row>
    <row r="17" spans="2:6" s="130" customFormat="1" ht="19.5" customHeight="1" x14ac:dyDescent="0.3">
      <c r="B17" s="301" t="s">
        <v>150</v>
      </c>
      <c r="C17" s="302"/>
      <c r="D17" s="137">
        <v>900</v>
      </c>
      <c r="E17" s="135" t="s">
        <v>116</v>
      </c>
    </row>
    <row r="18" spans="2:6" s="130" customFormat="1" ht="19.5" customHeight="1" x14ac:dyDescent="0.3">
      <c r="B18" s="291" t="s">
        <v>149</v>
      </c>
      <c r="C18" s="292"/>
      <c r="D18" s="138">
        <f>(D17/D16)/1000</f>
        <v>0.15</v>
      </c>
      <c r="E18" s="139" t="s">
        <v>120</v>
      </c>
    </row>
    <row r="19" spans="2:6" x14ac:dyDescent="0.3">
      <c r="D19" s="4"/>
    </row>
    <row r="20" spans="2:6" ht="15.6" x14ac:dyDescent="0.3">
      <c r="B20" s="276" t="s">
        <v>112</v>
      </c>
      <c r="C20" s="277"/>
      <c r="D20" s="277"/>
      <c r="E20" s="278"/>
    </row>
    <row r="21" spans="2:6" s="132" customFormat="1" ht="19.5" customHeight="1" x14ac:dyDescent="0.3">
      <c r="B21" s="303" t="s">
        <v>19</v>
      </c>
      <c r="C21" s="304"/>
      <c r="D21" s="93">
        <f>D22*D25</f>
        <v>2868538.176</v>
      </c>
      <c r="E21" s="133" t="s">
        <v>13</v>
      </c>
    </row>
    <row r="22" spans="2:6" s="132" customFormat="1" ht="19.5" customHeight="1" x14ac:dyDescent="0.3">
      <c r="B22" s="301" t="s">
        <v>147</v>
      </c>
      <c r="C22" s="302"/>
      <c r="D22" s="96">
        <v>3984.0808000000002</v>
      </c>
      <c r="E22" s="135" t="s">
        <v>10</v>
      </c>
    </row>
    <row r="23" spans="2:6" s="132" customFormat="1" ht="19.5" customHeight="1" x14ac:dyDescent="0.3">
      <c r="B23" s="305" t="s">
        <v>113</v>
      </c>
      <c r="C23" s="306"/>
      <c r="D23" s="137">
        <v>800</v>
      </c>
      <c r="E23" s="135" t="s">
        <v>115</v>
      </c>
    </row>
    <row r="24" spans="2:6" s="132" customFormat="1" ht="19.5" customHeight="1" x14ac:dyDescent="0.3">
      <c r="B24" s="301" t="s">
        <v>146</v>
      </c>
      <c r="C24" s="302"/>
      <c r="D24" s="137">
        <v>900</v>
      </c>
      <c r="E24" s="135" t="s">
        <v>116</v>
      </c>
    </row>
    <row r="25" spans="2:6" s="132" customFormat="1" ht="19.5" customHeight="1" x14ac:dyDescent="0.3">
      <c r="B25" s="291" t="s">
        <v>145</v>
      </c>
      <c r="C25" s="292"/>
      <c r="D25" s="125">
        <f>D23*D24/1000</f>
        <v>720</v>
      </c>
      <c r="E25" s="139" t="s">
        <v>117</v>
      </c>
    </row>
    <row r="27" spans="2:6" ht="15.6" x14ac:dyDescent="0.3">
      <c r="B27" s="276" t="s">
        <v>114</v>
      </c>
      <c r="C27" s="277"/>
      <c r="D27" s="277"/>
      <c r="E27" s="278"/>
    </row>
    <row r="28" spans="2:6" s="130" customFormat="1" ht="19.5" customHeight="1" x14ac:dyDescent="0.3">
      <c r="B28" s="293" t="s">
        <v>113</v>
      </c>
      <c r="C28" s="294"/>
      <c r="D28" s="137">
        <v>300</v>
      </c>
      <c r="E28" s="135" t="s">
        <v>115</v>
      </c>
      <c r="F28" s="140"/>
    </row>
    <row r="29" spans="2:6" s="130" customFormat="1" ht="19.5" customHeight="1" x14ac:dyDescent="0.3">
      <c r="B29" s="295" t="s">
        <v>146</v>
      </c>
      <c r="C29" s="296"/>
      <c r="D29" s="137">
        <v>900</v>
      </c>
      <c r="E29" s="135" t="s">
        <v>116</v>
      </c>
    </row>
    <row r="30" spans="2:6" s="130" customFormat="1" ht="19.5" customHeight="1" x14ac:dyDescent="0.3">
      <c r="B30" s="297" t="s">
        <v>145</v>
      </c>
      <c r="C30" s="298"/>
      <c r="D30" s="125">
        <f>D28*D29/1000</f>
        <v>270</v>
      </c>
      <c r="E30" s="139" t="s">
        <v>117</v>
      </c>
    </row>
    <row r="32" spans="2:6" x14ac:dyDescent="0.25">
      <c r="C32" s="1"/>
      <c r="D32" s="1"/>
      <c r="E32" s="1"/>
    </row>
    <row r="35" spans="1:6" x14ac:dyDescent="0.25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868e9c-ad13-49eb-9c93-c3301907c253" xsi:nil="true"/>
    <lcf76f155ced4ddcb4097134ff3c332f xmlns="10617f33-047f-45d0-a7b4-0e2d53f1a73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4FDBB49F1D4447A34D84A4A8F29C2A" ma:contentTypeVersion="12" ma:contentTypeDescription="Ein neues Dokument erstellen." ma:contentTypeScope="" ma:versionID="8b874b726a2a8047004a2fc845a2b2f8">
  <xsd:schema xmlns:xsd="http://www.w3.org/2001/XMLSchema" xmlns:xs="http://www.w3.org/2001/XMLSchema" xmlns:p="http://schemas.microsoft.com/office/2006/metadata/properties" xmlns:ns2="b1868e9c-ad13-49eb-9c93-c3301907c253" xmlns:ns3="10617f33-047f-45d0-a7b4-0e2d53f1a73e" targetNamespace="http://schemas.microsoft.com/office/2006/metadata/properties" ma:root="true" ma:fieldsID="c19028601f8485c89fa61a8352f46a91" ns2:_="" ns3:_="">
    <xsd:import namespace="b1868e9c-ad13-49eb-9c93-c3301907c253"/>
    <xsd:import namespace="10617f33-047f-45d0-a7b4-0e2d53f1a7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68e9c-ad13-49eb-9c93-c3301907c2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abfad9e5-25e1-4d72-bdfe-d3997f73ad03}" ma:internalName="TaxCatchAll" ma:showField="CatchAllData" ma:web="b1868e9c-ad13-49eb-9c93-c3301907c2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17f33-047f-45d0-a7b4-0e2d53f1a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569B1-465F-4D2A-BE73-705C6AB5C85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1868e9c-ad13-49eb-9c93-c3301907c25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0617f33-047f-45d0-a7b4-0e2d53f1a7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B55DBA-365B-4CAB-BE18-08099EFB3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868e9c-ad13-49eb-9c93-c3301907c253"/>
    <ds:schemaRef ds:uri="10617f33-047f-45d0-a7b4-0e2d53f1a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Ruetgers Lisa</cp:lastModifiedBy>
  <cp:lastPrinted>2023-01-23T15:47:50Z</cp:lastPrinted>
  <dcterms:created xsi:type="dcterms:W3CDTF">2022-05-10T08:02:21Z</dcterms:created>
  <dcterms:modified xsi:type="dcterms:W3CDTF">2023-06-13T14:25:28Z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